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work\out\"/>
    </mc:Choice>
  </mc:AlternateContent>
  <xr:revisionPtr revIDLastSave="0" documentId="8_{E6C0B2C2-8396-4B6E-9BD2-CD3D8339B5A3}" xr6:coauthVersionLast="47" xr6:coauthVersionMax="47" xr10:uidLastSave="{00000000-0000-0000-0000-000000000000}"/>
  <bookViews>
    <workbookView xWindow="-120" yWindow="-120" windowWidth="15600" windowHeight="11040" xr2:uid="{04BEF328-C4BF-4BC4-BDD8-BA5410580782}"/>
  </bookViews>
  <sheets>
    <sheet name="Summary" sheetId="1" r:id="rId1"/>
    <sheet name="TieOut" sheetId="2" r:id="rId2"/>
    <sheet name="Period_Labels" sheetId="3" r:id="rId3"/>
    <sheet name="Checks" sheetId="4" r:id="rId4"/>
    <sheet name="ChangeLog" sheetId="5" r:id="rId5"/>
    <sheet name="Model_Snapshot" sheetId="6" r:id="rId6"/>
    <sheet name="Q2_vs_Q3_Notes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1" i="1" l="1"/>
  <c r="B8" i="1"/>
  <c r="B4" i="1"/>
  <c r="F103" i="4"/>
  <c r="H103" i="4" s="1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2" i="4"/>
  <c r="D82" i="4"/>
  <c r="F82" i="4" s="1"/>
  <c r="H82" i="4" s="1"/>
  <c r="E81" i="4"/>
  <c r="D81" i="4"/>
  <c r="F81" i="4" s="1"/>
  <c r="H81" i="4" s="1"/>
  <c r="E80" i="4"/>
  <c r="D80" i="4"/>
  <c r="F80" i="4" s="1"/>
  <c r="H80" i="4" s="1"/>
  <c r="E79" i="4"/>
  <c r="D79" i="4"/>
  <c r="F79" i="4" s="1"/>
  <c r="H79" i="4" s="1"/>
  <c r="E78" i="4"/>
  <c r="D78" i="4"/>
  <c r="F78" i="4" s="1"/>
  <c r="H78" i="4" s="1"/>
  <c r="E77" i="4"/>
  <c r="D77" i="4"/>
  <c r="F77" i="4" s="1"/>
  <c r="H77" i="4" s="1"/>
  <c r="E76" i="4"/>
  <c r="D76" i="4"/>
  <c r="F76" i="4" s="1"/>
  <c r="H76" i="4" s="1"/>
  <c r="E75" i="4"/>
  <c r="D75" i="4"/>
  <c r="F75" i="4" s="1"/>
  <c r="H75" i="4" s="1"/>
  <c r="E74" i="4"/>
  <c r="D74" i="4"/>
  <c r="F74" i="4" s="1"/>
  <c r="H74" i="4" s="1"/>
  <c r="E73" i="4"/>
  <c r="D73" i="4"/>
  <c r="F73" i="4" s="1"/>
  <c r="H73" i="4" s="1"/>
  <c r="E72" i="4"/>
  <c r="D72" i="4"/>
  <c r="F72" i="4" s="1"/>
  <c r="H72" i="4" s="1"/>
  <c r="E71" i="4"/>
  <c r="D71" i="4"/>
  <c r="F71" i="4" s="1"/>
  <c r="H71" i="4" s="1"/>
  <c r="E70" i="4"/>
  <c r="D70" i="4"/>
  <c r="F70" i="4" s="1"/>
  <c r="H70" i="4" s="1"/>
  <c r="E69" i="4"/>
  <c r="D69" i="4"/>
  <c r="F69" i="4" s="1"/>
  <c r="H69" i="4" s="1"/>
  <c r="E68" i="4"/>
  <c r="D68" i="4"/>
  <c r="F68" i="4" s="1"/>
  <c r="H68" i="4" s="1"/>
  <c r="E67" i="4"/>
  <c r="D67" i="4"/>
  <c r="F67" i="4" s="1"/>
  <c r="H67" i="4" s="1"/>
  <c r="E66" i="4"/>
  <c r="D66" i="4"/>
  <c r="F66" i="4" s="1"/>
  <c r="H66" i="4" s="1"/>
  <c r="E65" i="4"/>
  <c r="D65" i="4"/>
  <c r="F65" i="4" s="1"/>
  <c r="H65" i="4" s="1"/>
  <c r="E64" i="4"/>
  <c r="D64" i="4"/>
  <c r="F64" i="4" s="1"/>
  <c r="H64" i="4" s="1"/>
  <c r="E63" i="4"/>
  <c r="D63" i="4"/>
  <c r="F63" i="4" s="1"/>
  <c r="H63" i="4" s="1"/>
  <c r="E62" i="4"/>
  <c r="D62" i="4"/>
  <c r="F62" i="4" s="1"/>
  <c r="H62" i="4" s="1"/>
  <c r="E61" i="4"/>
  <c r="D61" i="4"/>
  <c r="F61" i="4" s="1"/>
  <c r="H61" i="4" s="1"/>
  <c r="E60" i="4"/>
  <c r="D60" i="4"/>
  <c r="F60" i="4" s="1"/>
  <c r="H60" i="4" s="1"/>
  <c r="E59" i="4"/>
  <c r="D59" i="4"/>
  <c r="F59" i="4" s="1"/>
  <c r="H59" i="4" s="1"/>
  <c r="E58" i="4"/>
  <c r="D58" i="4"/>
  <c r="F58" i="4" s="1"/>
  <c r="H58" i="4" s="1"/>
  <c r="E57" i="4"/>
  <c r="D57" i="4"/>
  <c r="F57" i="4" s="1"/>
  <c r="H57" i="4" s="1"/>
  <c r="E56" i="4"/>
  <c r="D56" i="4"/>
  <c r="F56" i="4" s="1"/>
  <c r="H56" i="4" s="1"/>
  <c r="E55" i="4"/>
  <c r="D55" i="4"/>
  <c r="F55" i="4" s="1"/>
  <c r="H55" i="4" s="1"/>
  <c r="E54" i="4"/>
  <c r="D54" i="4"/>
  <c r="F54" i="4" s="1"/>
  <c r="H54" i="4" s="1"/>
  <c r="E53" i="4"/>
  <c r="D53" i="4"/>
  <c r="F53" i="4" s="1"/>
  <c r="H53" i="4" s="1"/>
  <c r="E52" i="4"/>
  <c r="D52" i="4"/>
  <c r="F52" i="4" s="1"/>
  <c r="H52" i="4" s="1"/>
  <c r="E51" i="4"/>
  <c r="D51" i="4"/>
  <c r="F51" i="4" s="1"/>
  <c r="H51" i="4" s="1"/>
  <c r="E50" i="4"/>
  <c r="D50" i="4"/>
  <c r="F50" i="4" s="1"/>
  <c r="H50" i="4" s="1"/>
  <c r="E49" i="4"/>
  <c r="D49" i="4"/>
  <c r="F49" i="4" s="1"/>
  <c r="H49" i="4" s="1"/>
  <c r="E48" i="4"/>
  <c r="D48" i="4"/>
  <c r="F48" i="4" s="1"/>
  <c r="H48" i="4" s="1"/>
  <c r="E47" i="4"/>
  <c r="D47" i="4"/>
  <c r="F47" i="4" s="1"/>
  <c r="H47" i="4" s="1"/>
  <c r="E46" i="4"/>
  <c r="D46" i="4"/>
  <c r="F46" i="4" s="1"/>
  <c r="H46" i="4" s="1"/>
  <c r="E45" i="4"/>
  <c r="D45" i="4"/>
  <c r="F45" i="4" s="1"/>
  <c r="H45" i="4" s="1"/>
  <c r="E44" i="4"/>
  <c r="D44" i="4"/>
  <c r="F44" i="4" s="1"/>
  <c r="H44" i="4" s="1"/>
  <c r="E43" i="4"/>
  <c r="D43" i="4"/>
  <c r="F43" i="4" s="1"/>
  <c r="H43" i="4" s="1"/>
  <c r="E42" i="4"/>
  <c r="D42" i="4"/>
  <c r="F42" i="4" s="1"/>
  <c r="H42" i="4" s="1"/>
  <c r="E41" i="4"/>
  <c r="D41" i="4"/>
  <c r="F41" i="4" s="1"/>
  <c r="H41" i="4" s="1"/>
  <c r="E40" i="4"/>
  <c r="D40" i="4"/>
  <c r="F40" i="4" s="1"/>
  <c r="H40" i="4" s="1"/>
  <c r="E39" i="4"/>
  <c r="D39" i="4"/>
  <c r="F39" i="4" s="1"/>
  <c r="H39" i="4" s="1"/>
  <c r="E38" i="4"/>
  <c r="D38" i="4"/>
  <c r="F38" i="4" s="1"/>
  <c r="H38" i="4" s="1"/>
  <c r="E37" i="4"/>
  <c r="D37" i="4"/>
  <c r="F37" i="4" s="1"/>
  <c r="H37" i="4" s="1"/>
  <c r="E36" i="4"/>
  <c r="D36" i="4"/>
  <c r="F36" i="4" s="1"/>
  <c r="H36" i="4" s="1"/>
  <c r="E35" i="4"/>
  <c r="D35" i="4"/>
  <c r="F35" i="4" s="1"/>
  <c r="H35" i="4" s="1"/>
  <c r="E34" i="4"/>
  <c r="D34" i="4"/>
  <c r="F34" i="4" s="1"/>
  <c r="H34" i="4" s="1"/>
  <c r="E33" i="4"/>
  <c r="D33" i="4"/>
  <c r="F33" i="4" s="1"/>
  <c r="H33" i="4" s="1"/>
  <c r="E32" i="4"/>
  <c r="D32" i="4"/>
  <c r="F32" i="4" s="1"/>
  <c r="H32" i="4" s="1"/>
  <c r="E31" i="4"/>
  <c r="D31" i="4"/>
  <c r="F31" i="4" s="1"/>
  <c r="H31" i="4" s="1"/>
  <c r="E30" i="4"/>
  <c r="D30" i="4"/>
  <c r="F30" i="4" s="1"/>
  <c r="H30" i="4" s="1"/>
  <c r="E29" i="4"/>
  <c r="D29" i="4"/>
  <c r="F29" i="4" s="1"/>
  <c r="H29" i="4" s="1"/>
  <c r="E28" i="4"/>
  <c r="D28" i="4"/>
  <c r="F28" i="4" s="1"/>
  <c r="H28" i="4" s="1"/>
  <c r="E27" i="4"/>
  <c r="D27" i="4"/>
  <c r="F27" i="4" s="1"/>
  <c r="H27" i="4" s="1"/>
  <c r="E26" i="4"/>
  <c r="D26" i="4"/>
  <c r="F26" i="4" s="1"/>
  <c r="H26" i="4" s="1"/>
  <c r="E25" i="4"/>
  <c r="D25" i="4"/>
  <c r="F25" i="4" s="1"/>
  <c r="H25" i="4" s="1"/>
  <c r="E24" i="4"/>
  <c r="D24" i="4"/>
  <c r="F24" i="4" s="1"/>
  <c r="H24" i="4" s="1"/>
  <c r="F23" i="4"/>
  <c r="H23" i="4" s="1"/>
  <c r="E23" i="4"/>
  <c r="D23" i="4"/>
  <c r="E22" i="4"/>
  <c r="D22" i="4"/>
  <c r="F22" i="4" s="1"/>
  <c r="H22" i="4" s="1"/>
  <c r="E21" i="4"/>
  <c r="D21" i="4"/>
  <c r="F21" i="4" s="1"/>
  <c r="H21" i="4" s="1"/>
  <c r="E20" i="4"/>
  <c r="D20" i="4"/>
  <c r="F20" i="4" s="1"/>
  <c r="H20" i="4" s="1"/>
  <c r="E19" i="4"/>
  <c r="D19" i="4"/>
  <c r="F19" i="4" s="1"/>
  <c r="H19" i="4" s="1"/>
  <c r="E18" i="4"/>
  <c r="D18" i="4"/>
  <c r="F18" i="4" s="1"/>
  <c r="H18" i="4" s="1"/>
  <c r="E17" i="4"/>
  <c r="D17" i="4"/>
  <c r="F17" i="4" s="1"/>
  <c r="H17" i="4" s="1"/>
  <c r="E16" i="4"/>
  <c r="D16" i="4"/>
  <c r="F16" i="4" s="1"/>
  <c r="H16" i="4" s="1"/>
  <c r="E15" i="4"/>
  <c r="D15" i="4"/>
  <c r="F15" i="4" s="1"/>
  <c r="H15" i="4" s="1"/>
  <c r="E14" i="4"/>
  <c r="D14" i="4"/>
  <c r="F14" i="4" s="1"/>
  <c r="H14" i="4" s="1"/>
  <c r="E13" i="4"/>
  <c r="D13" i="4"/>
  <c r="F13" i="4" s="1"/>
  <c r="H13" i="4" s="1"/>
  <c r="E12" i="4"/>
  <c r="D12" i="4"/>
  <c r="F12" i="4" s="1"/>
  <c r="H12" i="4" s="1"/>
  <c r="E11" i="4"/>
  <c r="D11" i="4"/>
  <c r="F11" i="4" s="1"/>
  <c r="H11" i="4" s="1"/>
  <c r="E10" i="4"/>
  <c r="D10" i="4"/>
  <c r="F10" i="4" s="1"/>
  <c r="H10" i="4" s="1"/>
  <c r="E9" i="4"/>
  <c r="D9" i="4"/>
  <c r="F9" i="4" s="1"/>
  <c r="H9" i="4" s="1"/>
  <c r="E8" i="4"/>
  <c r="D8" i="4"/>
  <c r="F8" i="4" s="1"/>
  <c r="H8" i="4" s="1"/>
  <c r="E7" i="4"/>
  <c r="D7" i="4"/>
  <c r="F7" i="4" s="1"/>
  <c r="H7" i="4" s="1"/>
  <c r="E6" i="4"/>
  <c r="D6" i="4"/>
  <c r="F6" i="4" s="1"/>
  <c r="H6" i="4" s="1"/>
  <c r="E5" i="4"/>
  <c r="D5" i="4"/>
  <c r="F5" i="4" s="1"/>
  <c r="H5" i="4" s="1"/>
  <c r="E4" i="4"/>
  <c r="D4" i="4"/>
  <c r="F4" i="4" s="1"/>
  <c r="H4" i="4" s="1"/>
  <c r="E3" i="4"/>
  <c r="D3" i="4"/>
  <c r="F3" i="4" s="1"/>
  <c r="H3" i="4" s="1"/>
  <c r="E2" i="4"/>
  <c r="D2" i="4"/>
  <c r="F2" i="4" s="1"/>
  <c r="H2" i="4" s="1"/>
  <c r="D20" i="3"/>
  <c r="D19" i="3"/>
  <c r="D18" i="3"/>
  <c r="D17" i="3"/>
  <c r="B10" i="1" s="1"/>
  <c r="G12" i="3"/>
  <c r="I12" i="3" s="1"/>
  <c r="G11" i="3"/>
  <c r="I11" i="3" s="1"/>
  <c r="G10" i="3"/>
  <c r="I10" i="3" s="1"/>
  <c r="G9" i="3"/>
  <c r="I9" i="3" s="1"/>
  <c r="G8" i="3"/>
  <c r="I8" i="3" s="1"/>
  <c r="G7" i="3"/>
  <c r="I7" i="3" s="1"/>
  <c r="G6" i="3"/>
  <c r="I6" i="3" s="1"/>
  <c r="G5" i="3"/>
  <c r="I5" i="3" s="1"/>
  <c r="G4" i="3"/>
  <c r="I4" i="3" s="1"/>
  <c r="G3" i="3"/>
  <c r="I3" i="3" s="1"/>
  <c r="G2" i="3"/>
  <c r="I2" i="3" s="1"/>
  <c r="W21" i="2"/>
  <c r="E102" i="4" s="1"/>
  <c r="S21" i="2"/>
  <c r="N21" i="2"/>
  <c r="O21" i="2" s="1"/>
  <c r="I21" i="2"/>
  <c r="W20" i="2"/>
  <c r="E101" i="4" s="1"/>
  <c r="S20" i="2"/>
  <c r="N20" i="2"/>
  <c r="O20" i="2" s="1"/>
  <c r="I20" i="2"/>
  <c r="W19" i="2"/>
  <c r="E100" i="4" s="1"/>
  <c r="S19" i="2"/>
  <c r="N19" i="2"/>
  <c r="O19" i="2" s="1"/>
  <c r="I19" i="2"/>
  <c r="W18" i="2"/>
  <c r="E99" i="4" s="1"/>
  <c r="S18" i="2"/>
  <c r="N18" i="2"/>
  <c r="O18" i="2" s="1"/>
  <c r="I18" i="2"/>
  <c r="W17" i="2"/>
  <c r="E98" i="4" s="1"/>
  <c r="S17" i="2"/>
  <c r="N17" i="2"/>
  <c r="O17" i="2" s="1"/>
  <c r="L17" i="2"/>
  <c r="M17" i="2" s="1"/>
  <c r="I17" i="2"/>
  <c r="W16" i="2"/>
  <c r="S16" i="2"/>
  <c r="N16" i="2"/>
  <c r="O16" i="2" s="1"/>
  <c r="I16" i="2"/>
  <c r="W15" i="2"/>
  <c r="S15" i="2"/>
  <c r="N15" i="2"/>
  <c r="O15" i="2" s="1"/>
  <c r="I15" i="2"/>
  <c r="W14" i="2"/>
  <c r="S14" i="2"/>
  <c r="N14" i="2"/>
  <c r="O14" i="2" s="1"/>
  <c r="I14" i="2"/>
  <c r="W13" i="2"/>
  <c r="S13" i="2"/>
  <c r="N13" i="2"/>
  <c r="O13" i="2" s="1"/>
  <c r="I13" i="2"/>
  <c r="W12" i="2"/>
  <c r="S12" i="2"/>
  <c r="N12" i="2"/>
  <c r="O12" i="2" s="1"/>
  <c r="I12" i="2"/>
  <c r="W11" i="2"/>
  <c r="S11" i="2"/>
  <c r="N11" i="2"/>
  <c r="O11" i="2" s="1"/>
  <c r="I11" i="2"/>
  <c r="W10" i="2"/>
  <c r="S10" i="2"/>
  <c r="N10" i="2"/>
  <c r="O10" i="2" s="1"/>
  <c r="I10" i="2"/>
  <c r="W9" i="2"/>
  <c r="S9" i="2"/>
  <c r="N9" i="2"/>
  <c r="O9" i="2" s="1"/>
  <c r="I9" i="2"/>
  <c r="W8" i="2"/>
  <c r="S8" i="2"/>
  <c r="N8" i="2"/>
  <c r="O8" i="2" s="1"/>
  <c r="I8" i="2"/>
  <c r="W7" i="2"/>
  <c r="S7" i="2"/>
  <c r="N7" i="2"/>
  <c r="O7" i="2" s="1"/>
  <c r="I7" i="2"/>
  <c r="W6" i="2"/>
  <c r="S6" i="2"/>
  <c r="N6" i="2"/>
  <c r="O6" i="2" s="1"/>
  <c r="I6" i="2"/>
  <c r="W5" i="2"/>
  <c r="S5" i="2"/>
  <c r="N5" i="2"/>
  <c r="O5" i="2" s="1"/>
  <c r="I5" i="2"/>
  <c r="W4" i="2"/>
  <c r="S4" i="2"/>
  <c r="N4" i="2"/>
  <c r="O4" i="2" s="1"/>
  <c r="I4" i="2"/>
  <c r="W3" i="2"/>
  <c r="E84" i="4" s="1"/>
  <c r="S3" i="2"/>
  <c r="N3" i="2"/>
  <c r="O3" i="2" s="1"/>
  <c r="I3" i="2"/>
  <c r="W2" i="2"/>
  <c r="E83" i="4" s="1"/>
  <c r="S2" i="2"/>
  <c r="N2" i="2"/>
  <c r="O2" i="2" s="1"/>
  <c r="B6" i="1" s="1"/>
  <c r="I2" i="2"/>
  <c r="T21" i="2" l="1"/>
  <c r="U21" i="2"/>
  <c r="V21" i="2" s="1"/>
  <c r="L21" i="2"/>
  <c r="M21" i="2" s="1"/>
  <c r="T20" i="2"/>
  <c r="L20" i="2"/>
  <c r="M20" i="2" s="1"/>
  <c r="U20" i="2"/>
  <c r="V20" i="2" s="1"/>
  <c r="T19" i="2"/>
  <c r="U19" i="2"/>
  <c r="V19" i="2" s="1"/>
  <c r="L19" i="2"/>
  <c r="M19" i="2" s="1"/>
  <c r="T18" i="2"/>
  <c r="L18" i="2"/>
  <c r="M18" i="2" s="1"/>
  <c r="U18" i="2"/>
  <c r="V18" i="2" s="1"/>
  <c r="U17" i="2"/>
  <c r="V17" i="2" s="1"/>
  <c r="T17" i="2"/>
  <c r="T16" i="2"/>
  <c r="U16" i="2"/>
  <c r="V16" i="2" s="1"/>
  <c r="L16" i="2"/>
  <c r="M16" i="2" s="1"/>
  <c r="T15" i="2"/>
  <c r="L15" i="2"/>
  <c r="M15" i="2" s="1"/>
  <c r="U15" i="2"/>
  <c r="V15" i="2" s="1"/>
  <c r="T14" i="2"/>
  <c r="L14" i="2"/>
  <c r="M14" i="2" s="1"/>
  <c r="U14" i="2"/>
  <c r="V14" i="2" s="1"/>
  <c r="T13" i="2"/>
  <c r="U13" i="2"/>
  <c r="V13" i="2" s="1"/>
  <c r="L13" i="2"/>
  <c r="M13" i="2" s="1"/>
  <c r="T12" i="2"/>
  <c r="U12" i="2"/>
  <c r="V12" i="2" s="1"/>
  <c r="L12" i="2"/>
  <c r="M12" i="2" s="1"/>
  <c r="V11" i="2"/>
  <c r="T11" i="2"/>
  <c r="U11" i="2"/>
  <c r="L11" i="2"/>
  <c r="M11" i="2" s="1"/>
  <c r="T10" i="2"/>
  <c r="L10" i="2"/>
  <c r="M10" i="2" s="1"/>
  <c r="U10" i="2"/>
  <c r="V10" i="2" s="1"/>
  <c r="T9" i="2"/>
  <c r="L9" i="2"/>
  <c r="M9" i="2" s="1"/>
  <c r="U9" i="2"/>
  <c r="V9" i="2" s="1"/>
  <c r="T8" i="2"/>
  <c r="U8" i="2"/>
  <c r="V8" i="2" s="1"/>
  <c r="L8" i="2"/>
  <c r="M8" i="2" s="1"/>
  <c r="T7" i="2"/>
  <c r="U7" i="2"/>
  <c r="V7" i="2" s="1"/>
  <c r="L7" i="2"/>
  <c r="M7" i="2" s="1"/>
  <c r="V6" i="2"/>
  <c r="T6" i="2"/>
  <c r="U6" i="2"/>
  <c r="L6" i="2"/>
  <c r="M6" i="2" s="1"/>
  <c r="T5" i="2"/>
  <c r="L5" i="2"/>
  <c r="M5" i="2" s="1"/>
  <c r="U5" i="2"/>
  <c r="V5" i="2" s="1"/>
  <c r="T4" i="2"/>
  <c r="L4" i="2"/>
  <c r="M4" i="2" s="1"/>
  <c r="U4" i="2"/>
  <c r="V4" i="2" s="1"/>
  <c r="T3" i="2"/>
  <c r="L3" i="2"/>
  <c r="M3" i="2" s="1"/>
  <c r="U3" i="2"/>
  <c r="V3" i="2" s="1"/>
  <c r="T2" i="2"/>
  <c r="U2" i="2"/>
  <c r="V2" i="2" s="1"/>
  <c r="L2" i="2"/>
  <c r="M2" i="2" s="1"/>
  <c r="B9" i="1"/>
  <c r="X21" i="2" l="1"/>
  <c r="D102" i="4"/>
  <c r="F102" i="4" s="1"/>
  <c r="H102" i="4" s="1"/>
  <c r="X20" i="2"/>
  <c r="D101" i="4"/>
  <c r="F101" i="4" s="1"/>
  <c r="H101" i="4" s="1"/>
  <c r="X19" i="2"/>
  <c r="D100" i="4"/>
  <c r="F100" i="4" s="1"/>
  <c r="H100" i="4" s="1"/>
  <c r="D99" i="4"/>
  <c r="F99" i="4" s="1"/>
  <c r="H99" i="4" s="1"/>
  <c r="X18" i="2"/>
  <c r="X17" i="2"/>
  <c r="D98" i="4"/>
  <c r="F98" i="4" s="1"/>
  <c r="H98" i="4" s="1"/>
  <c r="X16" i="2"/>
  <c r="D97" i="4"/>
  <c r="F97" i="4" s="1"/>
  <c r="H97" i="4" s="1"/>
  <c r="X15" i="2"/>
  <c r="D96" i="4"/>
  <c r="F96" i="4" s="1"/>
  <c r="H96" i="4" s="1"/>
  <c r="X14" i="2"/>
  <c r="D95" i="4"/>
  <c r="F95" i="4" s="1"/>
  <c r="H95" i="4" s="1"/>
  <c r="X13" i="2"/>
  <c r="D94" i="4"/>
  <c r="F94" i="4" s="1"/>
  <c r="H94" i="4" s="1"/>
  <c r="X12" i="2"/>
  <c r="D93" i="4"/>
  <c r="F93" i="4" s="1"/>
  <c r="H93" i="4" s="1"/>
  <c r="X11" i="2"/>
  <c r="D92" i="4"/>
  <c r="F92" i="4" s="1"/>
  <c r="H92" i="4" s="1"/>
  <c r="X10" i="2"/>
  <c r="D91" i="4"/>
  <c r="F91" i="4" s="1"/>
  <c r="H91" i="4" s="1"/>
  <c r="X9" i="2"/>
  <c r="D90" i="4"/>
  <c r="F90" i="4" s="1"/>
  <c r="H90" i="4" s="1"/>
  <c r="X8" i="2"/>
  <c r="D89" i="4"/>
  <c r="F89" i="4" s="1"/>
  <c r="H89" i="4" s="1"/>
  <c r="X7" i="2"/>
  <c r="D88" i="4"/>
  <c r="F88" i="4" s="1"/>
  <c r="H88" i="4" s="1"/>
  <c r="X6" i="2"/>
  <c r="D87" i="4"/>
  <c r="F87" i="4" s="1"/>
  <c r="H87" i="4" s="1"/>
  <c r="X5" i="2"/>
  <c r="D86" i="4"/>
  <c r="F86" i="4" s="1"/>
  <c r="H86" i="4" s="1"/>
  <c r="X4" i="2"/>
  <c r="D85" i="4"/>
  <c r="F85" i="4" s="1"/>
  <c r="H85" i="4" s="1"/>
  <c r="X3" i="2"/>
  <c r="D84" i="4"/>
  <c r="F84" i="4" s="1"/>
  <c r="H84" i="4" s="1"/>
  <c r="X2" i="2"/>
  <c r="D83" i="4"/>
  <c r="F83" i="4" s="1"/>
  <c r="H83" i="4" s="1"/>
  <c r="B5" i="1"/>
  <c r="B14" i="1"/>
  <c r="B7" i="1"/>
  <c r="B13" i="1" l="1"/>
  <c r="B12" i="1"/>
</calcChain>
</file>

<file path=xl/sharedStrings.xml><?xml version="1.0" encoding="utf-8"?>
<sst xmlns="http://schemas.openxmlformats.org/spreadsheetml/2006/main" count="919" uniqueCount="488">
  <si>
    <t>Metric</t>
  </si>
  <si>
    <t>April</t>
  </si>
  <si>
    <t>May</t>
  </si>
  <si>
    <t>June</t>
  </si>
  <si>
    <t>Q2</t>
  </si>
  <si>
    <t>July</t>
  </si>
  <si>
    <t>August</t>
  </si>
  <si>
    <t>September</t>
  </si>
  <si>
    <t>Q3</t>
  </si>
  <si>
    <t>Revenue</t>
  </si>
  <si>
    <t>Cost of sales</t>
  </si>
  <si>
    <t>Gross profit</t>
  </si>
  <si>
    <t>Operating expenses</t>
  </si>
  <si>
    <t>EBITDA</t>
  </si>
  <si>
    <t>Opening cash</t>
  </si>
  <si>
    <t>Cash receipts</t>
  </si>
  <si>
    <t>Cash payments</t>
  </si>
  <si>
    <t>Closing cash</t>
  </si>
  <si>
    <t>Customers at period end</t>
  </si>
  <si>
    <t>Gross margin</t>
  </si>
  <si>
    <t>EBITDA margin</t>
  </si>
  <si>
    <t>Values copied from the recalculated workbook (Lark operating model - Q3 recalculated.xlsx, sheet Model). Same cell addresses as the Model sheet.</t>
  </si>
  <si>
    <t>ID</t>
  </si>
  <si>
    <t>Slide</t>
  </si>
  <si>
    <t>Object</t>
  </si>
  <si>
    <t>Metric label (Q3 deck)</t>
  </si>
  <si>
    <t>Displayed text (Q3 deck)</t>
  </si>
  <si>
    <t>Displayed value</t>
  </si>
  <si>
    <t>Kind</t>
  </si>
  <si>
    <t>Source (sheet!cell)</t>
  </si>
  <si>
    <t>Model value (recalculated)</t>
  </si>
  <si>
    <t>Model display (Excel text)</t>
  </si>
  <si>
    <t>Rounding / format rule</t>
  </si>
  <si>
    <t>Expected deck value (rounded model)</t>
  </si>
  <si>
    <t>Value tie</t>
  </si>
  <si>
    <t>Expected text (label + model display)</t>
  </si>
  <si>
    <t>Text tie</t>
  </si>
  <si>
    <t>Prior displayed text (Q2 deck)</t>
  </si>
  <si>
    <t>Prior value (Q2 deck)</t>
  </si>
  <si>
    <t>Prior source (sheet!cell)</t>
  </si>
  <si>
    <t>Prior model value (Q2)</t>
  </si>
  <si>
    <t>Prior ties to Q2 model</t>
  </si>
  <si>
    <t>Change: Q3 model - Q2 model</t>
  </si>
  <si>
    <t>Change %</t>
  </si>
  <si>
    <t>Change of displayed values</t>
  </si>
  <si>
    <t>Rounding note</t>
  </si>
  <si>
    <t>S1_Rev</t>
  </si>
  <si>
    <t>TextBox 2 line 1</t>
  </si>
  <si>
    <t>Revenue $3,300,000</t>
  </si>
  <si>
    <t>money</t>
  </si>
  <si>
    <t>Model!I2</t>
  </si>
  <si>
    <t>3,300,000</t>
  </si>
  <si>
    <t>Round to $1 (half away from zero), display $#,##0</t>
  </si>
  <si>
    <t>Revenue $2,850,000</t>
  </si>
  <si>
    <t>Model!E2</t>
  </si>
  <si>
    <t>S1_EBITDA</t>
  </si>
  <si>
    <t>TextBox 2 line 2</t>
  </si>
  <si>
    <t>EBITDA $600,000</t>
  </si>
  <si>
    <t>Model!I6</t>
  </si>
  <si>
    <t>600,000</t>
  </si>
  <si>
    <t>EBITDA $420,000</t>
  </si>
  <si>
    <t>Model!E6</t>
  </si>
  <si>
    <t>S1_Cash</t>
  </si>
  <si>
    <t>TextBox 2 line 3</t>
  </si>
  <si>
    <t>Closing cash $2,180,000</t>
  </si>
  <si>
    <t>Model!I10</t>
  </si>
  <si>
    <t>2,180,000</t>
  </si>
  <si>
    <t>Closing cash $1,550,000</t>
  </si>
  <si>
    <t>Model!E10</t>
  </si>
  <si>
    <t>S2_Rev</t>
  </si>
  <si>
    <t>S2_COS</t>
  </si>
  <si>
    <t>Cost of sales $1,320,000</t>
  </si>
  <si>
    <t>Model!I3</t>
  </si>
  <si>
    <t>1,320,000</t>
  </si>
  <si>
    <t>Cost of sales $1,140,000</t>
  </si>
  <si>
    <t>Model!E3</t>
  </si>
  <si>
    <t>S2_GP</t>
  </si>
  <si>
    <t>Gross profit $1,980,000</t>
  </si>
  <si>
    <t>Model!I4</t>
  </si>
  <si>
    <t>1,980,000</t>
  </si>
  <si>
    <t>Gross profit $1,710,000</t>
  </si>
  <si>
    <t>Model!E4</t>
  </si>
  <si>
    <t>S2_GM</t>
  </si>
  <si>
    <t>TextBox 2 line 4</t>
  </si>
  <si>
    <t>Gross margin 60.0%</t>
  </si>
  <si>
    <t>pct</t>
  </si>
  <si>
    <t>Model!I12</t>
  </si>
  <si>
    <t>60.0%</t>
  </si>
  <si>
    <t>Round to 0.1% (display 0.0%)</t>
  </si>
  <si>
    <t>Model!E12</t>
  </si>
  <si>
    <t>S3_Opex</t>
  </si>
  <si>
    <t>Operating expenses $1,380,000</t>
  </si>
  <si>
    <t>Model!I5</t>
  </si>
  <si>
    <t>1,380,000</t>
  </si>
  <si>
    <t>Operating expenses $1,290,000</t>
  </si>
  <si>
    <t>Model!E5</t>
  </si>
  <si>
    <t>S3_EBITDA</t>
  </si>
  <si>
    <t>S3_EBITDAm</t>
  </si>
  <si>
    <t>EBITDA margin 18.2%</t>
  </si>
  <si>
    <t>Model!I13</t>
  </si>
  <si>
    <t>18.2%</t>
  </si>
  <si>
    <t>EBITDA margin 14.7%</t>
  </si>
  <si>
    <t>Model!E13</t>
  </si>
  <si>
    <t>S4_Open</t>
  </si>
  <si>
    <t>Opening cash $1,550,000</t>
  </si>
  <si>
    <t>Model!I7</t>
  </si>
  <si>
    <t>1,550,000</t>
  </si>
  <si>
    <t>Opening cash $1,200,000</t>
  </si>
  <si>
    <t>Model!E7</t>
  </si>
  <si>
    <t>S4_Rec</t>
  </si>
  <si>
    <t>Cash receipts $3,270,000</t>
  </si>
  <si>
    <t>Model!I8</t>
  </si>
  <si>
    <t>3,270,000</t>
  </si>
  <si>
    <t>Cash receipts $2,810,000</t>
  </si>
  <si>
    <t>Model!E8</t>
  </si>
  <si>
    <t>S4_Pay</t>
  </si>
  <si>
    <t>Cash payments $2,640,000</t>
  </si>
  <si>
    <t>Model!I9</t>
  </si>
  <si>
    <t>2,640,000</t>
  </si>
  <si>
    <t>Cash payments $2,460,000</t>
  </si>
  <si>
    <t>Model!E9</t>
  </si>
  <si>
    <t>S4_Close</t>
  </si>
  <si>
    <t>S5_Cust</t>
  </si>
  <si>
    <t>Customers at period end 230</t>
  </si>
  <si>
    <t>count</t>
  </si>
  <si>
    <t>Model!I11</t>
  </si>
  <si>
    <t>230</t>
  </si>
  <si>
    <t>Round to whole customer, display #,##0</t>
  </si>
  <si>
    <t>Customers at period end 200</t>
  </si>
  <si>
    <t>Model!E11</t>
  </si>
  <si>
    <t>S5_SepRev</t>
  </si>
  <si>
    <t>September revenue</t>
  </si>
  <si>
    <t>September revenue $1,150,000</t>
  </si>
  <si>
    <t>Model!H2</t>
  </si>
  <si>
    <t>1,150,000</t>
  </si>
  <si>
    <t>June revenue $1,000,000</t>
  </si>
  <si>
    <t>Model!D2</t>
  </si>
  <si>
    <t>S6_M1</t>
  </si>
  <si>
    <t>July $1,050,000</t>
  </si>
  <si>
    <t>Model!F2</t>
  </si>
  <si>
    <t>1,050,000</t>
  </si>
  <si>
    <t>April $900,000</t>
  </si>
  <si>
    <t>Model!B2</t>
  </si>
  <si>
    <t>S6_M2</t>
  </si>
  <si>
    <t>August $1,100,000</t>
  </si>
  <si>
    <t>Model!G2</t>
  </si>
  <si>
    <t>1,100,000</t>
  </si>
  <si>
    <t>May $950,000</t>
  </si>
  <si>
    <t>Model!C2</t>
  </si>
  <si>
    <t>S6_M3</t>
  </si>
  <si>
    <t>September $1,150,000</t>
  </si>
  <si>
    <t>June $1,000,000</t>
  </si>
  <si>
    <t>S6_Qtr</t>
  </si>
  <si>
    <t>Quarter</t>
  </si>
  <si>
    <t>Quarter $3,300,000</t>
  </si>
  <si>
    <t>Quarter $2,850,000</t>
  </si>
  <si>
    <t>Label kind</t>
  </si>
  <si>
    <t>Prior label (Q2 deck)</t>
  </si>
  <si>
    <t>New label (Q3 deck)</t>
  </si>
  <si>
    <t>Expected from model</t>
  </si>
  <si>
    <t>Result</t>
  </si>
  <si>
    <t>T1</t>
  </si>
  <si>
    <t>Title 1</t>
  </si>
  <si>
    <t>title</t>
  </si>
  <si>
    <t>Lark · Q2 board update</t>
  </si>
  <si>
    <t>Lark · Q3 board update</t>
  </si>
  <si>
    <t>Model!E1 / Model!I1</t>
  </si>
  <si>
    <t>T2</t>
  </si>
  <si>
    <t>Q2 performance</t>
  </si>
  <si>
    <t>Q3 performance</t>
  </si>
  <si>
    <t>T3</t>
  </si>
  <si>
    <t>Q2 operating result</t>
  </si>
  <si>
    <t>Q3 operating result</t>
  </si>
  <si>
    <t>T4</t>
  </si>
  <si>
    <t>Q2 cash bridge</t>
  </si>
  <si>
    <t>Q3 cash bridge</t>
  </si>
  <si>
    <t>T5</t>
  </si>
  <si>
    <t>Q2 customers</t>
  </si>
  <si>
    <t>Q3 customers</t>
  </si>
  <si>
    <t>T6</t>
  </si>
  <si>
    <t>Q2 monthly revenue</t>
  </si>
  <si>
    <t>Q3 monthly revenue</t>
  </si>
  <si>
    <t>S5_SepRev_label</t>
  </si>
  <si>
    <t>hdr_revenue</t>
  </si>
  <si>
    <t>June revenue</t>
  </si>
  <si>
    <t>Model!H1</t>
  </si>
  <si>
    <t>S6_M1_label</t>
  </si>
  <si>
    <t>hdr</t>
  </si>
  <si>
    <t>Model!F1</t>
  </si>
  <si>
    <t>S6_M2_label</t>
  </si>
  <si>
    <t>Model!G1</t>
  </si>
  <si>
    <t>S6_M3_label</t>
  </si>
  <si>
    <t>S6_Qtr_label</t>
  </si>
  <si>
    <t>unchanged</t>
  </si>
  <si>
    <t>n/a (generic label, unchanged)</t>
  </si>
  <si>
    <t>Stale period-term scan of the saved Q3 deck (whole words)</t>
  </si>
  <si>
    <t>Term</t>
  </si>
  <si>
    <t>Count in visible slide text</t>
  </si>
  <si>
    <t>Count in speaker notes</t>
  </si>
  <si>
    <t>Result (visible must be 0)</t>
  </si>
  <si>
    <t>Remark</t>
  </si>
  <si>
    <t>Notes quote the prior (Q2) wording on purpose, as change flags.</t>
  </si>
  <si>
    <t>Check ID</t>
  </si>
  <si>
    <t>Scope</t>
  </si>
  <si>
    <t>Description</t>
  </si>
  <si>
    <t>Left</t>
  </si>
  <si>
    <t>Right</t>
  </si>
  <si>
    <t>Left - Right</t>
  </si>
  <si>
    <t>Tolerance</t>
  </si>
  <si>
    <t>M-GP-B</t>
  </si>
  <si>
    <t>Model</t>
  </si>
  <si>
    <t>April gross profit = revenue - cost of sales</t>
  </si>
  <si>
    <t>M-EBITDA-B</t>
  </si>
  <si>
    <t>April EBITDA = gross profit - operating expenses</t>
  </si>
  <si>
    <t>M-CASH-B</t>
  </si>
  <si>
    <t>April closing cash = opening + receipts - payments</t>
  </si>
  <si>
    <t>M-GM-B</t>
  </si>
  <si>
    <t>April gross margin = gross profit / revenue</t>
  </si>
  <si>
    <t>M-EBM-B</t>
  </si>
  <si>
    <t>April EBITDA margin = EBITDA / revenue</t>
  </si>
  <si>
    <t>M-GP-C</t>
  </si>
  <si>
    <t>May gross profit = revenue - cost of sales</t>
  </si>
  <si>
    <t>M-EBITDA-C</t>
  </si>
  <si>
    <t>May EBITDA = gross profit - operating expenses</t>
  </si>
  <si>
    <t>M-CASH-C</t>
  </si>
  <si>
    <t>May closing cash = opening + receipts - payments</t>
  </si>
  <si>
    <t>M-GM-C</t>
  </si>
  <si>
    <t>May gross margin = gross profit / revenue</t>
  </si>
  <si>
    <t>M-EBM-C</t>
  </si>
  <si>
    <t>May EBITDA margin = EBITDA / revenue</t>
  </si>
  <si>
    <t>M-GP-D</t>
  </si>
  <si>
    <t>June gross profit = revenue - cost of sales</t>
  </si>
  <si>
    <t>M-EBITDA-D</t>
  </si>
  <si>
    <t>June EBITDA = gross profit - operating expenses</t>
  </si>
  <si>
    <t>M-CASH-D</t>
  </si>
  <si>
    <t>June closing cash = opening + receipts - payments</t>
  </si>
  <si>
    <t>M-GM-D</t>
  </si>
  <si>
    <t>June gross margin = gross profit / revenue</t>
  </si>
  <si>
    <t>M-EBM-D</t>
  </si>
  <si>
    <t>June EBITDA margin = EBITDA / revenue</t>
  </si>
  <si>
    <t>M-GP-E</t>
  </si>
  <si>
    <t>Q2 gross profit = revenue - cost of sales</t>
  </si>
  <si>
    <t>M-EBITDA-E</t>
  </si>
  <si>
    <t>Q2 EBITDA = gross profit - operating expenses</t>
  </si>
  <si>
    <t>M-CASH-E</t>
  </si>
  <si>
    <t>Q2 closing cash = opening + receipts - payments</t>
  </si>
  <si>
    <t>M-GM-E</t>
  </si>
  <si>
    <t>Q2 gross margin = gross profit / revenue</t>
  </si>
  <si>
    <t>M-EBM-E</t>
  </si>
  <si>
    <t>Q2 EBITDA margin = EBITDA / revenue</t>
  </si>
  <si>
    <t>M-GP-F</t>
  </si>
  <si>
    <t>July gross profit = revenue - cost of sales</t>
  </si>
  <si>
    <t>M-EBITDA-F</t>
  </si>
  <si>
    <t>July EBITDA = gross profit - operating expenses</t>
  </si>
  <si>
    <t>M-CASH-F</t>
  </si>
  <si>
    <t>July closing cash = opening + receipts - payments</t>
  </si>
  <si>
    <t>M-GM-F</t>
  </si>
  <si>
    <t>July gross margin = gross profit / revenue</t>
  </si>
  <si>
    <t>M-EBM-F</t>
  </si>
  <si>
    <t>July EBITDA margin = EBITDA / revenue</t>
  </si>
  <si>
    <t>M-GP-G</t>
  </si>
  <si>
    <t>August gross profit = revenue - cost of sales</t>
  </si>
  <si>
    <t>M-EBITDA-G</t>
  </si>
  <si>
    <t>August EBITDA = gross profit - operating expenses</t>
  </si>
  <si>
    <t>M-CASH-G</t>
  </si>
  <si>
    <t>August closing cash = opening + receipts - payments</t>
  </si>
  <si>
    <t>M-GM-G</t>
  </si>
  <si>
    <t>August gross margin = gross profit / revenue</t>
  </si>
  <si>
    <t>M-EBM-G</t>
  </si>
  <si>
    <t>August EBITDA margin = EBITDA / revenue</t>
  </si>
  <si>
    <t>M-GP-H</t>
  </si>
  <si>
    <t>September gross profit = revenue - cost of sales</t>
  </si>
  <si>
    <t>M-EBITDA-H</t>
  </si>
  <si>
    <t>September EBITDA = gross profit - operating expenses</t>
  </si>
  <si>
    <t>M-CASH-H</t>
  </si>
  <si>
    <t>September closing cash = opening + receipts - payments</t>
  </si>
  <si>
    <t>M-GM-H</t>
  </si>
  <si>
    <t>September gross margin = gross profit / revenue</t>
  </si>
  <si>
    <t>M-EBM-H</t>
  </si>
  <si>
    <t>September EBITDA margin = EBITDA / revenue</t>
  </si>
  <si>
    <t>M-GP-I</t>
  </si>
  <si>
    <t>Q3 gross profit = revenue - cost of sales</t>
  </si>
  <si>
    <t>M-EBITDA-I</t>
  </si>
  <si>
    <t>Q3 EBITDA = gross profit - operating expenses</t>
  </si>
  <si>
    <t>M-CASH-I</t>
  </si>
  <si>
    <t>Q3 closing cash = opening + receipts - payments</t>
  </si>
  <si>
    <t>M-GM-I</t>
  </si>
  <si>
    <t>Q3 gross margin = gross profit / revenue</t>
  </si>
  <si>
    <t>M-EBM-I</t>
  </si>
  <si>
    <t>Q3 EBITDA margin = EBITDA / revenue</t>
  </si>
  <si>
    <t>M-SUM2-E</t>
  </si>
  <si>
    <t>Q2 revenue = sum of its three months</t>
  </si>
  <si>
    <t>M-SUM3-E</t>
  </si>
  <si>
    <t>Q2 cost of sales = sum of its three months</t>
  </si>
  <si>
    <t>M-SUM5-E</t>
  </si>
  <si>
    <t>Q2 operating expenses = sum of its three months</t>
  </si>
  <si>
    <t>M-SUM8-E</t>
  </si>
  <si>
    <t>Q2 cash receipts = sum of its three months</t>
  </si>
  <si>
    <t>M-SUM9-E</t>
  </si>
  <si>
    <t>Q2 cash payments = sum of its three months</t>
  </si>
  <si>
    <t>M-OPEN-E</t>
  </si>
  <si>
    <t>Q2 opening cash = first month opening cash</t>
  </si>
  <si>
    <t>M-CLOSE-E</t>
  </si>
  <si>
    <t>Q2 closing cash = last month closing cash</t>
  </si>
  <si>
    <t>M-CUST-E</t>
  </si>
  <si>
    <t>Q2 customers = last month customers</t>
  </si>
  <si>
    <t>M-SUM2-I</t>
  </si>
  <si>
    <t>Q3 revenue = sum of its three months</t>
  </si>
  <si>
    <t>M-SUM3-I</t>
  </si>
  <si>
    <t>Q3 cost of sales = sum of its three months</t>
  </si>
  <si>
    <t>M-SUM5-I</t>
  </si>
  <si>
    <t>Q3 operating expenses = sum of its three months</t>
  </si>
  <si>
    <t>M-SUM8-I</t>
  </si>
  <si>
    <t>Q3 cash receipts = sum of its three months</t>
  </si>
  <si>
    <t>M-SUM9-I</t>
  </si>
  <si>
    <t>Q3 cash payments = sum of its three months</t>
  </si>
  <si>
    <t>M-OPEN-I</t>
  </si>
  <si>
    <t>Q3 opening cash = first month opening cash</t>
  </si>
  <si>
    <t>M-CLOSE-I</t>
  </si>
  <si>
    <t>Q3 closing cash = last month closing cash</t>
  </si>
  <si>
    <t>M-CUST-I</t>
  </si>
  <si>
    <t>Q3 customers = last month customers</t>
  </si>
  <si>
    <t>M-ROLL-C</t>
  </si>
  <si>
    <t>May opening cash = April closing cash</t>
  </si>
  <si>
    <t>M-ROLL-D</t>
  </si>
  <si>
    <t>June opening cash = May closing cash</t>
  </si>
  <si>
    <t>M-ROLL-F</t>
  </si>
  <si>
    <t>July opening cash = June closing cash</t>
  </si>
  <si>
    <t>M-ROLL-G</t>
  </si>
  <si>
    <t>August opening cash = July closing cash</t>
  </si>
  <si>
    <t>M-ROLL-H</t>
  </si>
  <si>
    <t>September opening cash = August closing cash</t>
  </si>
  <si>
    <t>M-ROLL-Q</t>
  </si>
  <si>
    <t>Q3 opening cash = Q2 closing cash</t>
  </si>
  <si>
    <t>D-S2-GP</t>
  </si>
  <si>
    <t>Deck</t>
  </si>
  <si>
    <t>Slide 2: revenue - cost of sales = gross profit (as displayed)</t>
  </si>
  <si>
    <t>D-S2-GM</t>
  </si>
  <si>
    <t>Slide 2: gross margin = gross profit / revenue (displayed, within 0.05pt rounding)</t>
  </si>
  <si>
    <t>D-S3-EBITDA</t>
  </si>
  <si>
    <t>Slide 3: slide-2 gross profit - operating expenses = EBITDA</t>
  </si>
  <si>
    <t>D-S3-EBM</t>
  </si>
  <si>
    <t>Slide 3: EBITDA margin = EBITDA / revenue (displayed, within 0.05pt rounding)</t>
  </si>
  <si>
    <t>D-S4-CASH</t>
  </si>
  <si>
    <t>Slide 4: opening + receipts - payments = closing cash</t>
  </si>
  <si>
    <t>D-S6-SUM</t>
  </si>
  <si>
    <t>Slide 6: July + August + September = quarter</t>
  </si>
  <si>
    <t>D-X-REV1</t>
  </si>
  <si>
    <t>Cross-slide</t>
  </si>
  <si>
    <t>Revenue: slide 1 = slide 2</t>
  </si>
  <si>
    <t>D-X-REV2</t>
  </si>
  <si>
    <t>Revenue: slide 1 = slide 6 quarter</t>
  </si>
  <si>
    <t>D-X-EBITDA</t>
  </si>
  <si>
    <t>EBITDA: slide 1 = slide 3</t>
  </si>
  <si>
    <t>D-X-CASH</t>
  </si>
  <si>
    <t>Closing cash: slide 1 = slide 4</t>
  </si>
  <si>
    <t>D-X-SEP</t>
  </si>
  <si>
    <t>September revenue: slide 5 = slide 6</t>
  </si>
  <si>
    <t>D-X-CUST</t>
  </si>
  <si>
    <t>Customers: slide 5 = model September customers (H11)</t>
  </si>
  <si>
    <t>D-X-OPEN</t>
  </si>
  <si>
    <t>Q3 opening cash (slide 4) = Q2 closing cash shown in the Q2 deck</t>
  </si>
  <si>
    <t>P-S2-GP</t>
  </si>
  <si>
    <t>Q2 deck</t>
  </si>
  <si>
    <t>Q2 deck slide 2: revenue - cost of sales = gross profit</t>
  </si>
  <si>
    <t>P-S3-EBITDA</t>
  </si>
  <si>
    <t>Q2 deck slide 3: gross profit - operating expenses = EBITDA</t>
  </si>
  <si>
    <t>P-S4-CASH</t>
  </si>
  <si>
    <t>Q2 deck slide 4: opening + receipts - payments = closing</t>
  </si>
  <si>
    <t>P-S6-SUM</t>
  </si>
  <si>
    <t>Q2 deck slide 6: April + May + June = quarter</t>
  </si>
  <si>
    <t>P-X-REV</t>
  </si>
  <si>
    <t>Q2 deck revenue: slide 1 = slide 2 = slide 6 quarter</t>
  </si>
  <si>
    <t>P-X-CASH</t>
  </si>
  <si>
    <t>Q2 deck closing cash: slide 1 = slide 4</t>
  </si>
  <si>
    <t>V-S1_Rev</t>
  </si>
  <si>
    <t>Variance</t>
  </si>
  <si>
    <t>Change recompute: S1_Rev (model change vs change of displayed values)</t>
  </si>
  <si>
    <t>V-S1_EBITDA</t>
  </si>
  <si>
    <t>Change recompute: S1_EBITDA (model change vs change of displayed values)</t>
  </si>
  <si>
    <t>V-S1_Cash</t>
  </si>
  <si>
    <t>Change recompute: S1_Cash (model change vs change of displayed values)</t>
  </si>
  <si>
    <t>V-S2_Rev</t>
  </si>
  <si>
    <t>Change recompute: S2_Rev (model change vs change of displayed values)</t>
  </si>
  <si>
    <t>V-S2_COS</t>
  </si>
  <si>
    <t>Change recompute: S2_COS (model change vs change of displayed values)</t>
  </si>
  <si>
    <t>V-S2_GP</t>
  </si>
  <si>
    <t>Change recompute: S2_GP (model change vs change of displayed values)</t>
  </si>
  <si>
    <t>V-S2_GM</t>
  </si>
  <si>
    <t>Change recompute: S2_GM (model change vs change of displayed values)</t>
  </si>
  <si>
    <t>V-S3_Opex</t>
  </si>
  <si>
    <t>Change recompute: S3_Opex (model change vs change of displayed values)</t>
  </si>
  <si>
    <t>V-S3_EBITDA</t>
  </si>
  <si>
    <t>Change recompute: S3_EBITDA (model change vs change of displayed values)</t>
  </si>
  <si>
    <t>V-S3_EBITDAm</t>
  </si>
  <si>
    <t>Change recompute: S3_EBITDAm (model change vs change of displayed values)</t>
  </si>
  <si>
    <t>V-S4_Open</t>
  </si>
  <si>
    <t>Change recompute: S4_Open (model change vs change of displayed values)</t>
  </si>
  <si>
    <t>V-S4_Rec</t>
  </si>
  <si>
    <t>Change recompute: S4_Rec (model change vs change of displayed values)</t>
  </si>
  <si>
    <t>V-S4_Pay</t>
  </si>
  <si>
    <t>Change recompute: S4_Pay (model change vs change of displayed values)</t>
  </si>
  <si>
    <t>V-S4_Close</t>
  </si>
  <si>
    <t>Change recompute: S4_Close (model change vs change of displayed values)</t>
  </si>
  <si>
    <t>V-S5_Cust</t>
  </si>
  <si>
    <t>Change recompute: S5_Cust (model change vs change of displayed values)</t>
  </si>
  <si>
    <t>V-S5_SepRev</t>
  </si>
  <si>
    <t>Change recompute: S5_SepRev (model change vs change of displayed values)</t>
  </si>
  <si>
    <t>V-S6_M1</t>
  </si>
  <si>
    <t>Change recompute: S6_M1 (model change vs change of displayed values)</t>
  </si>
  <si>
    <t>V-S6_M2</t>
  </si>
  <si>
    <t>Change recompute: S6_M2 (model change vs change of displayed values)</t>
  </si>
  <si>
    <t>V-S6_M3</t>
  </si>
  <si>
    <t>Change recompute: S6_M3 (model change vs change of displayed values)</t>
  </si>
  <si>
    <t>V-S6_Qtr</t>
  </si>
  <si>
    <t>Change recompute: S6_Qtr (model change vs change of displayed values)</t>
  </si>
  <si>
    <t>S-SNAP</t>
  </si>
  <si>
    <t>Snapshot</t>
  </si>
  <si>
    <t>Model_Snapshot numeric cells equal the live recalculated workbook (cells matched vs cells compared)</t>
  </si>
  <si>
    <t>Item</t>
  </si>
  <si>
    <t>Type</t>
  </si>
  <si>
    <t>Before (Q2)</t>
  </si>
  <si>
    <t>After (Q3)</t>
  </si>
  <si>
    <t>Change</t>
  </si>
  <si>
    <t>Model source</t>
  </si>
  <si>
    <t>figure/label</t>
  </si>
  <si>
    <t>+$450,000 (+15.8%)</t>
  </si>
  <si>
    <t>+$180,000 (+42.9%)</t>
  </si>
  <si>
    <t>+$630,000 (+40.6%)</t>
  </si>
  <si>
    <t>+$180,000 (+15.8%)</t>
  </si>
  <si>
    <t>+$270,000 (+15.8%)</t>
  </si>
  <si>
    <t>+0.0 pts</t>
  </si>
  <si>
    <t>+$90,000 (+7.0%)</t>
  </si>
  <si>
    <t>+3.4 pts</t>
  </si>
  <si>
    <t>+$350,000 (+29.2%)</t>
  </si>
  <si>
    <t>+$460,000 (+16.4%)</t>
  </si>
  <si>
    <t>+$180,000 (+7.3%)</t>
  </si>
  <si>
    <t>+30 (+15.0%)</t>
  </si>
  <si>
    <t>+$150,000 (+15.0%)</t>
  </si>
  <si>
    <t>+$150,000 (+16.7%)</t>
  </si>
  <si>
    <t>+$150,000 (+15.8%)</t>
  </si>
  <si>
    <t>period label (title)</t>
  </si>
  <si>
    <t>Q2 to Q3</t>
  </si>
  <si>
    <t>Speaker notes</t>
  </si>
  <si>
    <t>N1</t>
  </si>
  <si>
    <t>change flag (notes)</t>
  </si>
  <si>
    <t>(no notes)</t>
  </si>
  <si>
    <t>Change flag + before/after + model cell for each figure</t>
  </si>
  <si>
    <t/>
  </si>
  <si>
    <t>N2</t>
  </si>
  <si>
    <t>N3</t>
  </si>
  <si>
    <t>N4</t>
  </si>
  <si>
    <t>N5</t>
  </si>
  <si>
    <t>N6</t>
  </si>
  <si>
    <t>Lark Q3 board deck - tie-out audit (fictional sample data)</t>
  </si>
  <si>
    <t>Measure</t>
  </si>
  <si>
    <t>Detail</t>
  </si>
  <si>
    <t>Deck figures checked</t>
  </si>
  <si>
    <t>Every number on slides 1-6 (value lines)</t>
  </si>
  <si>
    <t>Figures tying to the recalculated model (value)</t>
  </si>
  <si>
    <t>Displayed value = model value rounded to the displayed precision</t>
  </si>
  <si>
    <t>Figures whose displayed text matches model format</t>
  </si>
  <si>
    <t>Label + $ + Excel-displayed text matches exactly</t>
  </si>
  <si>
    <t>Q2 deck figures tying to the Q2 model columns (prior)</t>
  </si>
  <si>
    <t>Baseline: the Q2 source deck itself ties to its model</t>
  </si>
  <si>
    <t>Period / month labels checked</t>
  </si>
  <si>
    <t>Titles, month labels, quarter label</t>
  </si>
  <si>
    <t>Period / month labels correct</t>
  </si>
  <si>
    <t>Audited separately from figures</t>
  </si>
  <si>
    <t>Stale-term scans clear (Q2, April, May, June in visible slide text)</t>
  </si>
  <si>
    <t>of 4 terms scanned</t>
  </si>
  <si>
    <t>Internal / cross-slide / variance checks run</t>
  </si>
  <si>
    <t>Footing, recompute, cross-slide, variance, roll-forward, snapshot</t>
  </si>
  <si>
    <t>Internal checks passed</t>
  </si>
  <si>
    <t>Internal checks failed</t>
  </si>
  <si>
    <t>Total exceptions (any FAIL on any sheet)</t>
  </si>
  <si>
    <t>Run on</t>
  </si>
  <si>
    <t>Excel 16.0 build 20430, 2026-11-02 00:02</t>
  </si>
  <si>
    <t>Flags</t>
  </si>
  <si>
    <t>No exceptions: every figure, label and internal check passed.</t>
  </si>
  <si>
    <t>INFO S2_GM: gross margin is unchanged at the displayed 60.0% (Q3 = 1,980,000 / 3,300,000); it is recalculated, not stale. Disclosed in slide 2 notes.</t>
  </si>
  <si>
    <t>INFO S3_EBITDAm: displayed change (0.035) differs from unrounded model change (0.03445) - rounding of the two displayed percentages; within the 0.1pt tolerance. Disclosed in slide 3 notes.</t>
  </si>
  <si>
    <t>Method (all steps in real desktop Windows apps):</t>
  </si>
  <si>
    <t>1. Excel opened the supplied model, ran CalculateFull and saved Lark operating model - Q3 recalculated.xlsx; every cell was exported (formula, value, displayed text).</t>
  </si>
  <si>
    <t>2. PowerPoint opened a copy of the untouched Q2 deck, rewrote each mapped line from the model export, moved Q2 to Q3 in titles, added change-flag speaker notes, saved.</t>
  </si>
  <si>
    <t>3. PowerPoint re-opened the saved Q3 file; displayed values were read back from the slides and compared to the model (sheet TieOut).</t>
  </si>
  <si>
    <t>4. This workbook was built in Excel with live formulas; TieOut / Period_Labels / Checks results are Excel calculations, read back after CalculateFull.</t>
  </si>
  <si>
    <t>Model_Snapshot holds the recalculated model values; check S-SNAP compares it with the live recalculated workbook.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</si>
</sst>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3" fontId="0" fillId="0" borderId="0" xfId="0" applyNumberFormat="1"/>
    <xf numFmtId="164" fontId="0" fillId="0" borderId="0" xfId="0" applyNumberFormat="1"/>
    <xf numFmtId="49" fontId="1" fillId="0" borderId="0" xfId="0" applyNumberFormat="1" applyFont="1"/>
    <xf numFmtId="49" fontId="1" fillId="2" borderId="0" xfId="0" applyNumberFormat="1" applyFont="1" applyFill="1"/>
    <xf numFmtId="49" fontId="1" fillId="2" borderId="0" xfId="0" applyNumberFormat="1" applyFont="1" applyFill="1" applyAlignment="1"/>
    <xf numFmtId="10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  <dxfs count="12"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88D7A-BED9-4897-BF9A-A753F7009545}">
  <dimension ref="A1:C22"/>
  <sheetViews>
    <sheetView tabSelected="1" workbookViewId="0"/>
  </sheetViews>
  <sheetFormatPr defaultRowHeight="15" x14ac:dyDescent="0.25"/>
  <cols>
    <col min="1" max="1" width="62.7109375" customWidth="1"/>
    <col min="2" max="2" width="14.7109375" customWidth="1"/>
    <col min="3" max="3" width="70.7109375" customWidth="1"/>
  </cols>
  <sheetData>
    <row r="1" spans="1:3" ht="18.75" x14ac:dyDescent="0.3">
      <c r="A1" s="8" t="s">
        <v>454</v>
      </c>
    </row>
    <row r="3" spans="1:3" x14ac:dyDescent="0.25">
      <c r="A3" s="5" t="s">
        <v>455</v>
      </c>
      <c r="B3" s="5" t="s">
        <v>160</v>
      </c>
      <c r="C3" s="5" t="s">
        <v>456</v>
      </c>
    </row>
    <row r="4" spans="1:3" x14ac:dyDescent="0.25">
      <c r="A4" s="1" t="s">
        <v>457</v>
      </c>
      <c r="B4">
        <f>COUNTA(TieOut!A2:A21)</f>
        <v>20</v>
      </c>
      <c r="C4" s="1" t="s">
        <v>458</v>
      </c>
    </row>
    <row r="5" spans="1:3" x14ac:dyDescent="0.25">
      <c r="A5" s="1" t="s">
        <v>459</v>
      </c>
      <c r="B5">
        <f>COUNTIF(TieOut!M2:M21,"PASS")</f>
        <v>20</v>
      </c>
      <c r="C5" s="1" t="s">
        <v>460</v>
      </c>
    </row>
    <row r="6" spans="1:3" x14ac:dyDescent="0.25">
      <c r="A6" s="1" t="s">
        <v>461</v>
      </c>
      <c r="B6">
        <f>COUNTIF(TieOut!O2:O21,"PASS")</f>
        <v>20</v>
      </c>
      <c r="C6" s="1" t="s">
        <v>462</v>
      </c>
    </row>
    <row r="7" spans="1:3" x14ac:dyDescent="0.25">
      <c r="A7" s="1" t="s">
        <v>463</v>
      </c>
      <c r="B7">
        <f>COUNTIF(TieOut!T2:T21,"PASS")</f>
        <v>20</v>
      </c>
      <c r="C7" s="1" t="s">
        <v>464</v>
      </c>
    </row>
    <row r="8" spans="1:3" x14ac:dyDescent="0.25">
      <c r="A8" s="1" t="s">
        <v>465</v>
      </c>
      <c r="B8">
        <f>COUNTA(Period_Labels!A2:A12)</f>
        <v>11</v>
      </c>
      <c r="C8" s="1" t="s">
        <v>466</v>
      </c>
    </row>
    <row r="9" spans="1:3" x14ac:dyDescent="0.25">
      <c r="A9" s="1" t="s">
        <v>467</v>
      </c>
      <c r="B9">
        <f>COUNTIF(Period_Labels!I2:I12,"PASS")</f>
        <v>11</v>
      </c>
      <c r="C9" s="1" t="s">
        <v>468</v>
      </c>
    </row>
    <row r="10" spans="1:3" x14ac:dyDescent="0.25">
      <c r="A10" s="1" t="s">
        <v>469</v>
      </c>
      <c r="B10">
        <f>COUNTIF(Period_Labels!D17:D20,"PASS")</f>
        <v>4</v>
      </c>
      <c r="C10" s="1" t="s">
        <v>470</v>
      </c>
    </row>
    <row r="11" spans="1:3" x14ac:dyDescent="0.25">
      <c r="A11" s="1" t="s">
        <v>471</v>
      </c>
      <c r="B11">
        <f>COUNTA(Checks!A2:A103)</f>
        <v>102</v>
      </c>
      <c r="C11" s="1" t="s">
        <v>472</v>
      </c>
    </row>
    <row r="12" spans="1:3" x14ac:dyDescent="0.25">
      <c r="A12" s="1" t="s">
        <v>473</v>
      </c>
      <c r="B12">
        <f>COUNTIF(Checks!H2:H103,"PASS")</f>
        <v>102</v>
      </c>
      <c r="C12" s="1" t="s">
        <v>448</v>
      </c>
    </row>
    <row r="13" spans="1:3" x14ac:dyDescent="0.25">
      <c r="A13" s="1" t="s">
        <v>474</v>
      </c>
      <c r="B13">
        <f>COUNTIF(Checks!H2:H103,"FAIL")</f>
        <v>0</v>
      </c>
      <c r="C13" s="1" t="s">
        <v>448</v>
      </c>
    </row>
    <row r="14" spans="1:3" x14ac:dyDescent="0.25">
      <c r="A14" s="1" t="s">
        <v>475</v>
      </c>
      <c r="B14">
        <f>COUNTIF(TieOut!M2:M21,"FAIL")+COUNTIF(TieOut!O2:O21,"FAIL")+COUNTIF(TieOut!T2:T21,"FAIL")+COUNTIF(Period_Labels!I2:I12,"FAIL")+COUNTIF(Period_Labels!D17:D20,"FAIL")+COUNTIF(Checks!H2:H103,"FAIL")</f>
        <v>0</v>
      </c>
      <c r="C14" s="1" t="s">
        <v>448</v>
      </c>
    </row>
    <row r="17" spans="1:2" x14ac:dyDescent="0.25">
      <c r="A17" s="1" t="s">
        <v>476</v>
      </c>
      <c r="B17" s="1" t="s">
        <v>477</v>
      </c>
    </row>
    <row r="19" spans="1:2" x14ac:dyDescent="0.25">
      <c r="A19" s="4" t="s">
        <v>478</v>
      </c>
    </row>
    <row r="20" spans="1:2" x14ac:dyDescent="0.25">
      <c r="A20" s="1" t="s">
        <v>479</v>
      </c>
    </row>
    <row r="21" spans="1:2" x14ac:dyDescent="0.25">
      <c r="A21" s="1" t="s">
        <v>480</v>
      </c>
    </row>
    <row r="22" spans="1:2" x14ac:dyDescent="0.25">
      <c r="A22" s="1" t="s">
        <v>481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CD86D-7028-42EB-8DB1-4A2F5DAF090B}">
  <dimension ref="A1:X21"/>
  <sheetViews>
    <sheetView zoomScaleNormal="100" workbookViewId="0">
      <pane xSplit="2" ySplit="1" topLeftCell="C2" activePane="bottomRight" state="frozenSplit"/>
      <selection pane="bottomLeft" activeCell="A2" sqref="A2"/>
      <selection pane="topRight" activeCell="C1" sqref="C1"/>
      <selection pane="bottomRight"/>
    </sheetView>
  </sheetViews>
  <sheetFormatPr defaultRowHeight="15" x14ac:dyDescent="0.25"/>
  <cols>
    <col min="1" max="1" width="11.7109375" bestFit="1" customWidth="1"/>
    <col min="2" max="2" width="5.5703125" bestFit="1" customWidth="1"/>
    <col min="3" max="3" width="14.28515625" bestFit="1" customWidth="1"/>
    <col min="4" max="4" width="22.85546875" bestFit="1" customWidth="1"/>
    <col min="5" max="5" width="28.42578125" bestFit="1" customWidth="1"/>
    <col min="6" max="6" width="15.42578125" bestFit="1" customWidth="1"/>
    <col min="7" max="7" width="6.85546875" bestFit="1" customWidth="1"/>
    <col min="8" max="8" width="18.5703125" bestFit="1" customWidth="1"/>
    <col min="9" max="9" width="25.28515625" bestFit="1" customWidth="1"/>
    <col min="10" max="10" width="24.5703125" bestFit="1" customWidth="1"/>
    <col min="11" max="11" width="44.85546875" bestFit="1" customWidth="1"/>
    <col min="12" max="12" width="35.85546875" bestFit="1" customWidth="1"/>
    <col min="13" max="13" width="8.85546875" bestFit="1" customWidth="1"/>
    <col min="14" max="14" width="35" bestFit="1" customWidth="1"/>
    <col min="15" max="15" width="7.7109375" bestFit="1" customWidth="1"/>
    <col min="16" max="16" width="28.42578125" bestFit="1" customWidth="1"/>
    <col min="17" max="17" width="19.85546875" bestFit="1" customWidth="1"/>
    <col min="18" max="18" width="23.28515625" bestFit="1" customWidth="1"/>
    <col min="19" max="19" width="21.42578125" bestFit="1" customWidth="1"/>
    <col min="20" max="20" width="20.7109375" bestFit="1" customWidth="1"/>
    <col min="21" max="21" width="28.140625" bestFit="1" customWidth="1"/>
    <col min="22" max="22" width="9.85546875" bestFit="1" customWidth="1"/>
    <col min="23" max="23" width="26.140625" bestFit="1" customWidth="1"/>
    <col min="24" max="24" width="18.42578125" bestFit="1" customWidth="1"/>
  </cols>
  <sheetData>
    <row r="1" spans="1:24" x14ac:dyDescent="0.25">
      <c r="A1" s="6" t="s">
        <v>22</v>
      </c>
      <c r="B1" s="6" t="s">
        <v>23</v>
      </c>
      <c r="C1" s="6" t="s">
        <v>24</v>
      </c>
      <c r="D1" s="6" t="s">
        <v>25</v>
      </c>
      <c r="E1" s="6" t="s">
        <v>26</v>
      </c>
      <c r="F1" s="6" t="s">
        <v>27</v>
      </c>
      <c r="G1" s="6" t="s">
        <v>28</v>
      </c>
      <c r="H1" s="6" t="s">
        <v>29</v>
      </c>
      <c r="I1" s="6" t="s">
        <v>30</v>
      </c>
      <c r="J1" s="6" t="s">
        <v>31</v>
      </c>
      <c r="K1" s="6" t="s">
        <v>32</v>
      </c>
      <c r="L1" s="6" t="s">
        <v>33</v>
      </c>
      <c r="M1" s="6" t="s">
        <v>34</v>
      </c>
      <c r="N1" s="6" t="s">
        <v>35</v>
      </c>
      <c r="O1" s="6" t="s">
        <v>36</v>
      </c>
      <c r="P1" s="6" t="s">
        <v>37</v>
      </c>
      <c r="Q1" s="6" t="s">
        <v>38</v>
      </c>
      <c r="R1" s="6" t="s">
        <v>39</v>
      </c>
      <c r="S1" s="6" t="s">
        <v>40</v>
      </c>
      <c r="T1" s="6" t="s">
        <v>41</v>
      </c>
      <c r="U1" s="6" t="s">
        <v>42</v>
      </c>
      <c r="V1" s="6" t="s">
        <v>43</v>
      </c>
      <c r="W1" s="6" t="s">
        <v>44</v>
      </c>
      <c r="X1" s="6" t="s">
        <v>45</v>
      </c>
    </row>
    <row r="2" spans="1:24" x14ac:dyDescent="0.25">
      <c r="A2" s="1" t="s">
        <v>46</v>
      </c>
      <c r="B2">
        <v>1</v>
      </c>
      <c r="C2" s="1" t="s">
        <v>47</v>
      </c>
      <c r="D2" s="1" t="s">
        <v>9</v>
      </c>
      <c r="E2" s="1" t="s">
        <v>48</v>
      </c>
      <c r="F2" s="2">
        <v>3300000</v>
      </c>
      <c r="G2" s="1" t="s">
        <v>49</v>
      </c>
      <c r="H2" s="1" t="s">
        <v>50</v>
      </c>
      <c r="I2" s="2">
        <f>Model_Snapshot!I2</f>
        <v>3300000</v>
      </c>
      <c r="J2" s="1" t="s">
        <v>51</v>
      </c>
      <c r="K2" s="1" t="s">
        <v>52</v>
      </c>
      <c r="L2" s="2">
        <f>ROUND(I2,0)</f>
        <v>3300000</v>
      </c>
      <c r="M2" t="str">
        <f>IF(ABS(F2-L2)&lt;0.000000001,"PASS","FAIL")</f>
        <v>PASS</v>
      </c>
      <c r="N2" t="str">
        <f>D2&amp;" "&amp;IF(G2="money","$","")&amp;J2</f>
        <v>Revenue $3,300,000</v>
      </c>
      <c r="O2" t="str">
        <f>IF(EXACT(E2,N2),"PASS","FAIL")</f>
        <v>PASS</v>
      </c>
      <c r="P2" s="1" t="s">
        <v>53</v>
      </c>
      <c r="Q2" s="2">
        <v>2850000</v>
      </c>
      <c r="R2" s="1" t="s">
        <v>54</v>
      </c>
      <c r="S2" s="2">
        <f>Model_Snapshot!E2</f>
        <v>2850000</v>
      </c>
      <c r="T2" t="str">
        <f>IF(ABS(Q2-ROUND(S2,0))&lt;0.000000001,"PASS","FAIL")</f>
        <v>PASS</v>
      </c>
      <c r="U2" s="2">
        <f>I2-S2</f>
        <v>450000</v>
      </c>
      <c r="V2" s="3">
        <f>IF(S2=0,"",U2/S2)</f>
        <v>0.15789473684210525</v>
      </c>
      <c r="W2" s="2">
        <f>F2-Q2</f>
        <v>450000</v>
      </c>
      <c r="X2" t="str">
        <f>IF(ABS(ROUND(U2,0)-W2)&lt;0.000000001,"consistent","rounding difference")</f>
        <v>consistent</v>
      </c>
    </row>
    <row r="3" spans="1:24" x14ac:dyDescent="0.25">
      <c r="A3" s="1" t="s">
        <v>55</v>
      </c>
      <c r="B3">
        <v>1</v>
      </c>
      <c r="C3" s="1" t="s">
        <v>56</v>
      </c>
      <c r="D3" s="1" t="s">
        <v>13</v>
      </c>
      <c r="E3" s="1" t="s">
        <v>57</v>
      </c>
      <c r="F3" s="2">
        <v>600000</v>
      </c>
      <c r="G3" s="1" t="s">
        <v>49</v>
      </c>
      <c r="H3" s="1" t="s">
        <v>58</v>
      </c>
      <c r="I3" s="2">
        <f>Model_Snapshot!I6</f>
        <v>600000</v>
      </c>
      <c r="J3" s="1" t="s">
        <v>59</v>
      </c>
      <c r="K3" s="1" t="s">
        <v>52</v>
      </c>
      <c r="L3" s="2">
        <f>ROUND(I3,0)</f>
        <v>600000</v>
      </c>
      <c r="M3" t="str">
        <f>IF(ABS(F3-L3)&lt;0.000000001,"PASS","FAIL")</f>
        <v>PASS</v>
      </c>
      <c r="N3" t="str">
        <f>D3&amp;" "&amp;IF(G3="money","$","")&amp;J3</f>
        <v>EBITDA $600,000</v>
      </c>
      <c r="O3" t="str">
        <f>IF(EXACT(E3,N3),"PASS","FAIL")</f>
        <v>PASS</v>
      </c>
      <c r="P3" s="1" t="s">
        <v>60</v>
      </c>
      <c r="Q3" s="2">
        <v>420000</v>
      </c>
      <c r="R3" s="1" t="s">
        <v>61</v>
      </c>
      <c r="S3" s="2">
        <f>Model_Snapshot!E6</f>
        <v>420000</v>
      </c>
      <c r="T3" t="str">
        <f>IF(ABS(Q3-ROUND(S3,0))&lt;0.000000001,"PASS","FAIL")</f>
        <v>PASS</v>
      </c>
      <c r="U3" s="2">
        <f>I3-S3</f>
        <v>180000</v>
      </c>
      <c r="V3" s="3">
        <f>IF(S3=0,"",U3/S3)</f>
        <v>0.42857142857142855</v>
      </c>
      <c r="W3" s="2">
        <f>F3-Q3</f>
        <v>180000</v>
      </c>
      <c r="X3" t="str">
        <f>IF(ABS(ROUND(U3,0)-W3)&lt;0.000000001,"consistent","rounding difference")</f>
        <v>consistent</v>
      </c>
    </row>
    <row r="4" spans="1:24" x14ac:dyDescent="0.25">
      <c r="A4" s="1" t="s">
        <v>62</v>
      </c>
      <c r="B4">
        <v>1</v>
      </c>
      <c r="C4" s="1" t="s">
        <v>63</v>
      </c>
      <c r="D4" s="1" t="s">
        <v>17</v>
      </c>
      <c r="E4" s="1" t="s">
        <v>64</v>
      </c>
      <c r="F4" s="2">
        <v>2180000</v>
      </c>
      <c r="G4" s="1" t="s">
        <v>49</v>
      </c>
      <c r="H4" s="1" t="s">
        <v>65</v>
      </c>
      <c r="I4" s="2">
        <f>Model_Snapshot!I10</f>
        <v>2180000</v>
      </c>
      <c r="J4" s="1" t="s">
        <v>66</v>
      </c>
      <c r="K4" s="1" t="s">
        <v>52</v>
      </c>
      <c r="L4" s="2">
        <f>ROUND(I4,0)</f>
        <v>2180000</v>
      </c>
      <c r="M4" t="str">
        <f>IF(ABS(F4-L4)&lt;0.000000001,"PASS","FAIL")</f>
        <v>PASS</v>
      </c>
      <c r="N4" t="str">
        <f>D4&amp;" "&amp;IF(G4="money","$","")&amp;J4</f>
        <v>Closing cash $2,180,000</v>
      </c>
      <c r="O4" t="str">
        <f>IF(EXACT(E4,N4),"PASS","FAIL")</f>
        <v>PASS</v>
      </c>
      <c r="P4" s="1" t="s">
        <v>67</v>
      </c>
      <c r="Q4" s="2">
        <v>1550000</v>
      </c>
      <c r="R4" s="1" t="s">
        <v>68</v>
      </c>
      <c r="S4" s="2">
        <f>Model_Snapshot!E10</f>
        <v>1550000</v>
      </c>
      <c r="T4" t="str">
        <f>IF(ABS(Q4-ROUND(S4,0))&lt;0.000000001,"PASS","FAIL")</f>
        <v>PASS</v>
      </c>
      <c r="U4" s="2">
        <f>I4-S4</f>
        <v>630000</v>
      </c>
      <c r="V4" s="3">
        <f>IF(S4=0,"",U4/S4)</f>
        <v>0.40645161290322579</v>
      </c>
      <c r="W4" s="2">
        <f>F4-Q4</f>
        <v>630000</v>
      </c>
      <c r="X4" t="str">
        <f>IF(ABS(ROUND(U4,0)-W4)&lt;0.000000001,"consistent","rounding difference")</f>
        <v>consistent</v>
      </c>
    </row>
    <row r="5" spans="1:24" x14ac:dyDescent="0.25">
      <c r="A5" s="1" t="s">
        <v>69</v>
      </c>
      <c r="B5">
        <v>2</v>
      </c>
      <c r="C5" s="1" t="s">
        <v>47</v>
      </c>
      <c r="D5" s="1" t="s">
        <v>9</v>
      </c>
      <c r="E5" s="1" t="s">
        <v>48</v>
      </c>
      <c r="F5" s="2">
        <v>3300000</v>
      </c>
      <c r="G5" s="1" t="s">
        <v>49</v>
      </c>
      <c r="H5" s="1" t="s">
        <v>50</v>
      </c>
      <c r="I5" s="2">
        <f>Model_Snapshot!I2</f>
        <v>3300000</v>
      </c>
      <c r="J5" s="1" t="s">
        <v>51</v>
      </c>
      <c r="K5" s="1" t="s">
        <v>52</v>
      </c>
      <c r="L5" s="2">
        <f>ROUND(I5,0)</f>
        <v>3300000</v>
      </c>
      <c r="M5" t="str">
        <f>IF(ABS(F5-L5)&lt;0.000000001,"PASS","FAIL")</f>
        <v>PASS</v>
      </c>
      <c r="N5" t="str">
        <f>D5&amp;" "&amp;IF(G5="money","$","")&amp;J5</f>
        <v>Revenue $3,300,000</v>
      </c>
      <c r="O5" t="str">
        <f>IF(EXACT(E5,N5),"PASS","FAIL")</f>
        <v>PASS</v>
      </c>
      <c r="P5" s="1" t="s">
        <v>53</v>
      </c>
      <c r="Q5" s="2">
        <v>2850000</v>
      </c>
      <c r="R5" s="1" t="s">
        <v>54</v>
      </c>
      <c r="S5" s="2">
        <f>Model_Snapshot!E2</f>
        <v>2850000</v>
      </c>
      <c r="T5" t="str">
        <f>IF(ABS(Q5-ROUND(S5,0))&lt;0.000000001,"PASS","FAIL")</f>
        <v>PASS</v>
      </c>
      <c r="U5" s="2">
        <f>I5-S5</f>
        <v>450000</v>
      </c>
      <c r="V5" s="3">
        <f>IF(S5=0,"",U5/S5)</f>
        <v>0.15789473684210525</v>
      </c>
      <c r="W5" s="2">
        <f>F5-Q5</f>
        <v>450000</v>
      </c>
      <c r="X5" t="str">
        <f>IF(ABS(ROUND(U5,0)-W5)&lt;0.000000001,"consistent","rounding difference")</f>
        <v>consistent</v>
      </c>
    </row>
    <row r="6" spans="1:24" x14ac:dyDescent="0.25">
      <c r="A6" s="1" t="s">
        <v>70</v>
      </c>
      <c r="B6">
        <v>2</v>
      </c>
      <c r="C6" s="1" t="s">
        <v>56</v>
      </c>
      <c r="D6" s="1" t="s">
        <v>10</v>
      </c>
      <c r="E6" s="1" t="s">
        <v>71</v>
      </c>
      <c r="F6" s="2">
        <v>1320000</v>
      </c>
      <c r="G6" s="1" t="s">
        <v>49</v>
      </c>
      <c r="H6" s="1" t="s">
        <v>72</v>
      </c>
      <c r="I6" s="2">
        <f>Model_Snapshot!I3</f>
        <v>1320000</v>
      </c>
      <c r="J6" s="1" t="s">
        <v>73</v>
      </c>
      <c r="K6" s="1" t="s">
        <v>52</v>
      </c>
      <c r="L6" s="2">
        <f>ROUND(I6,0)</f>
        <v>1320000</v>
      </c>
      <c r="M6" t="str">
        <f>IF(ABS(F6-L6)&lt;0.000000001,"PASS","FAIL")</f>
        <v>PASS</v>
      </c>
      <c r="N6" t="str">
        <f>D6&amp;" "&amp;IF(G6="money","$","")&amp;J6</f>
        <v>Cost of sales $1,320,000</v>
      </c>
      <c r="O6" t="str">
        <f>IF(EXACT(E6,N6),"PASS","FAIL")</f>
        <v>PASS</v>
      </c>
      <c r="P6" s="1" t="s">
        <v>74</v>
      </c>
      <c r="Q6" s="2">
        <v>1140000</v>
      </c>
      <c r="R6" s="1" t="s">
        <v>75</v>
      </c>
      <c r="S6" s="2">
        <f>Model_Snapshot!E3</f>
        <v>1140000</v>
      </c>
      <c r="T6" t="str">
        <f>IF(ABS(Q6-ROUND(S6,0))&lt;0.000000001,"PASS","FAIL")</f>
        <v>PASS</v>
      </c>
      <c r="U6" s="2">
        <f>I6-S6</f>
        <v>180000</v>
      </c>
      <c r="V6" s="3">
        <f>IF(S6=0,"",U6/S6)</f>
        <v>0.15789473684210525</v>
      </c>
      <c r="W6" s="2">
        <f>F6-Q6</f>
        <v>180000</v>
      </c>
      <c r="X6" t="str">
        <f>IF(ABS(ROUND(U6,0)-W6)&lt;0.000000001,"consistent","rounding difference")</f>
        <v>consistent</v>
      </c>
    </row>
    <row r="7" spans="1:24" x14ac:dyDescent="0.25">
      <c r="A7" s="1" t="s">
        <v>76</v>
      </c>
      <c r="B7">
        <v>2</v>
      </c>
      <c r="C7" s="1" t="s">
        <v>63</v>
      </c>
      <c r="D7" s="1" t="s">
        <v>11</v>
      </c>
      <c r="E7" s="1" t="s">
        <v>77</v>
      </c>
      <c r="F7" s="2">
        <v>1980000</v>
      </c>
      <c r="G7" s="1" t="s">
        <v>49</v>
      </c>
      <c r="H7" s="1" t="s">
        <v>78</v>
      </c>
      <c r="I7" s="2">
        <f>Model_Snapshot!I4</f>
        <v>1980000</v>
      </c>
      <c r="J7" s="1" t="s">
        <v>79</v>
      </c>
      <c r="K7" s="1" t="s">
        <v>52</v>
      </c>
      <c r="L7" s="2">
        <f>ROUND(I7,0)</f>
        <v>1980000</v>
      </c>
      <c r="M7" t="str">
        <f>IF(ABS(F7-L7)&lt;0.000000001,"PASS","FAIL")</f>
        <v>PASS</v>
      </c>
      <c r="N7" t="str">
        <f>D7&amp;" "&amp;IF(G7="money","$","")&amp;J7</f>
        <v>Gross profit $1,980,000</v>
      </c>
      <c r="O7" t="str">
        <f>IF(EXACT(E7,N7),"PASS","FAIL")</f>
        <v>PASS</v>
      </c>
      <c r="P7" s="1" t="s">
        <v>80</v>
      </c>
      <c r="Q7" s="2">
        <v>1710000</v>
      </c>
      <c r="R7" s="1" t="s">
        <v>81</v>
      </c>
      <c r="S7" s="2">
        <f>Model_Snapshot!E4</f>
        <v>1710000</v>
      </c>
      <c r="T7" t="str">
        <f>IF(ABS(Q7-ROUND(S7,0))&lt;0.000000001,"PASS","FAIL")</f>
        <v>PASS</v>
      </c>
      <c r="U7" s="2">
        <f>I7-S7</f>
        <v>270000</v>
      </c>
      <c r="V7" s="3">
        <f>IF(S7=0,"",U7/S7)</f>
        <v>0.15789473684210525</v>
      </c>
      <c r="W7" s="2">
        <f>F7-Q7</f>
        <v>270000</v>
      </c>
      <c r="X7" t="str">
        <f>IF(ABS(ROUND(U7,0)-W7)&lt;0.000000001,"consistent","rounding difference")</f>
        <v>consistent</v>
      </c>
    </row>
    <row r="8" spans="1:24" x14ac:dyDescent="0.25">
      <c r="A8" s="1" t="s">
        <v>82</v>
      </c>
      <c r="B8">
        <v>2</v>
      </c>
      <c r="C8" s="1" t="s">
        <v>83</v>
      </c>
      <c r="D8" s="1" t="s">
        <v>19</v>
      </c>
      <c r="E8" s="1" t="s">
        <v>84</v>
      </c>
      <c r="F8" s="7">
        <v>0.6</v>
      </c>
      <c r="G8" s="1" t="s">
        <v>85</v>
      </c>
      <c r="H8" s="1" t="s">
        <v>86</v>
      </c>
      <c r="I8" s="7">
        <f>Model_Snapshot!I12</f>
        <v>0.6</v>
      </c>
      <c r="J8" s="1" t="s">
        <v>87</v>
      </c>
      <c r="K8" s="1" t="s">
        <v>88</v>
      </c>
      <c r="L8" s="7">
        <f>ROUND(I8,3)</f>
        <v>0.6</v>
      </c>
      <c r="M8" t="str">
        <f>IF(ABS(F8-L8)&lt;0.000000001,"PASS","FAIL")</f>
        <v>PASS</v>
      </c>
      <c r="N8" t="str">
        <f>D8&amp;" "&amp;IF(G8="money","$","")&amp;J8</f>
        <v>Gross margin 60.0%</v>
      </c>
      <c r="O8" t="str">
        <f>IF(EXACT(E8,N8),"PASS","FAIL")</f>
        <v>PASS</v>
      </c>
      <c r="P8" s="1" t="s">
        <v>84</v>
      </c>
      <c r="Q8" s="7">
        <v>0.6</v>
      </c>
      <c r="R8" s="1" t="s">
        <v>89</v>
      </c>
      <c r="S8" s="7">
        <f>Model_Snapshot!E12</f>
        <v>0.6</v>
      </c>
      <c r="T8" t="str">
        <f>IF(ABS(Q8-ROUND(S8,3))&lt;0.000000001,"PASS","FAIL")</f>
        <v>PASS</v>
      </c>
      <c r="U8" s="7">
        <f>I8-S8</f>
        <v>0</v>
      </c>
      <c r="V8" s="3">
        <f>IF(S8=0,"",U8/S8)</f>
        <v>0</v>
      </c>
      <c r="W8" s="7">
        <f>F8-Q8</f>
        <v>0</v>
      </c>
      <c r="X8" t="str">
        <f>IF(ABS(ROUND(U8,3)-W8)&lt;0.000000001,"consistent","rounding difference")</f>
        <v>consistent</v>
      </c>
    </row>
    <row r="9" spans="1:24" x14ac:dyDescent="0.25">
      <c r="A9" s="1" t="s">
        <v>90</v>
      </c>
      <c r="B9">
        <v>3</v>
      </c>
      <c r="C9" s="1" t="s">
        <v>47</v>
      </c>
      <c r="D9" s="1" t="s">
        <v>12</v>
      </c>
      <c r="E9" s="1" t="s">
        <v>91</v>
      </c>
      <c r="F9" s="2">
        <v>1380000</v>
      </c>
      <c r="G9" s="1" t="s">
        <v>49</v>
      </c>
      <c r="H9" s="1" t="s">
        <v>92</v>
      </c>
      <c r="I9" s="2">
        <f>Model_Snapshot!I5</f>
        <v>1380000</v>
      </c>
      <c r="J9" s="1" t="s">
        <v>93</v>
      </c>
      <c r="K9" s="1" t="s">
        <v>52</v>
      </c>
      <c r="L9" s="2">
        <f>ROUND(I9,0)</f>
        <v>1380000</v>
      </c>
      <c r="M9" t="str">
        <f>IF(ABS(F9-L9)&lt;0.000000001,"PASS","FAIL")</f>
        <v>PASS</v>
      </c>
      <c r="N9" t="str">
        <f>D9&amp;" "&amp;IF(G9="money","$","")&amp;J9</f>
        <v>Operating expenses $1,380,000</v>
      </c>
      <c r="O9" t="str">
        <f>IF(EXACT(E9,N9),"PASS","FAIL")</f>
        <v>PASS</v>
      </c>
      <c r="P9" s="1" t="s">
        <v>94</v>
      </c>
      <c r="Q9" s="2">
        <v>1290000</v>
      </c>
      <c r="R9" s="1" t="s">
        <v>95</v>
      </c>
      <c r="S9" s="2">
        <f>Model_Snapshot!E5</f>
        <v>1290000</v>
      </c>
      <c r="T9" t="str">
        <f>IF(ABS(Q9-ROUND(S9,0))&lt;0.000000001,"PASS","FAIL")</f>
        <v>PASS</v>
      </c>
      <c r="U9" s="2">
        <f>I9-S9</f>
        <v>90000</v>
      </c>
      <c r="V9" s="3">
        <f>IF(S9=0,"",U9/S9)</f>
        <v>6.9767441860465115E-2</v>
      </c>
      <c r="W9" s="2">
        <f>F9-Q9</f>
        <v>90000</v>
      </c>
      <c r="X9" t="str">
        <f>IF(ABS(ROUND(U9,0)-W9)&lt;0.000000001,"consistent","rounding difference")</f>
        <v>consistent</v>
      </c>
    </row>
    <row r="10" spans="1:24" x14ac:dyDescent="0.25">
      <c r="A10" s="1" t="s">
        <v>96</v>
      </c>
      <c r="B10">
        <v>3</v>
      </c>
      <c r="C10" s="1" t="s">
        <v>56</v>
      </c>
      <c r="D10" s="1" t="s">
        <v>13</v>
      </c>
      <c r="E10" s="1" t="s">
        <v>57</v>
      </c>
      <c r="F10" s="2">
        <v>600000</v>
      </c>
      <c r="G10" s="1" t="s">
        <v>49</v>
      </c>
      <c r="H10" s="1" t="s">
        <v>58</v>
      </c>
      <c r="I10" s="2">
        <f>Model_Snapshot!I6</f>
        <v>600000</v>
      </c>
      <c r="J10" s="1" t="s">
        <v>59</v>
      </c>
      <c r="K10" s="1" t="s">
        <v>52</v>
      </c>
      <c r="L10" s="2">
        <f>ROUND(I10,0)</f>
        <v>600000</v>
      </c>
      <c r="M10" t="str">
        <f>IF(ABS(F10-L10)&lt;0.000000001,"PASS","FAIL")</f>
        <v>PASS</v>
      </c>
      <c r="N10" t="str">
        <f>D10&amp;" "&amp;IF(G10="money","$","")&amp;J10</f>
        <v>EBITDA $600,000</v>
      </c>
      <c r="O10" t="str">
        <f>IF(EXACT(E10,N10),"PASS","FAIL")</f>
        <v>PASS</v>
      </c>
      <c r="P10" s="1" t="s">
        <v>60</v>
      </c>
      <c r="Q10" s="2">
        <v>420000</v>
      </c>
      <c r="R10" s="1" t="s">
        <v>61</v>
      </c>
      <c r="S10" s="2">
        <f>Model_Snapshot!E6</f>
        <v>420000</v>
      </c>
      <c r="T10" t="str">
        <f>IF(ABS(Q10-ROUND(S10,0))&lt;0.000000001,"PASS","FAIL")</f>
        <v>PASS</v>
      </c>
      <c r="U10" s="2">
        <f>I10-S10</f>
        <v>180000</v>
      </c>
      <c r="V10" s="3">
        <f>IF(S10=0,"",U10/S10)</f>
        <v>0.42857142857142855</v>
      </c>
      <c r="W10" s="2">
        <f>F10-Q10</f>
        <v>180000</v>
      </c>
      <c r="X10" t="str">
        <f>IF(ABS(ROUND(U10,0)-W10)&lt;0.000000001,"consistent","rounding difference")</f>
        <v>consistent</v>
      </c>
    </row>
    <row r="11" spans="1:24" x14ac:dyDescent="0.25">
      <c r="A11" s="1" t="s">
        <v>97</v>
      </c>
      <c r="B11">
        <v>3</v>
      </c>
      <c r="C11" s="1" t="s">
        <v>63</v>
      </c>
      <c r="D11" s="1" t="s">
        <v>20</v>
      </c>
      <c r="E11" s="1" t="s">
        <v>98</v>
      </c>
      <c r="F11" s="7">
        <v>0.182</v>
      </c>
      <c r="G11" s="1" t="s">
        <v>85</v>
      </c>
      <c r="H11" s="1" t="s">
        <v>99</v>
      </c>
      <c r="I11" s="7">
        <f>Model_Snapshot!I13</f>
        <v>0.18181818181818182</v>
      </c>
      <c r="J11" s="1" t="s">
        <v>100</v>
      </c>
      <c r="K11" s="1" t="s">
        <v>88</v>
      </c>
      <c r="L11" s="7">
        <f>ROUND(I11,3)</f>
        <v>0.182</v>
      </c>
      <c r="M11" t="str">
        <f>IF(ABS(F11-L11)&lt;0.000000001,"PASS","FAIL")</f>
        <v>PASS</v>
      </c>
      <c r="N11" t="str">
        <f>D11&amp;" "&amp;IF(G11="money","$","")&amp;J11</f>
        <v>EBITDA margin 18.2%</v>
      </c>
      <c r="O11" t="str">
        <f>IF(EXACT(E11,N11),"PASS","FAIL")</f>
        <v>PASS</v>
      </c>
      <c r="P11" s="1" t="s">
        <v>101</v>
      </c>
      <c r="Q11" s="7">
        <v>0.14699999999999999</v>
      </c>
      <c r="R11" s="1" t="s">
        <v>102</v>
      </c>
      <c r="S11" s="7">
        <f>Model_Snapshot!E13</f>
        <v>0.14736842105263157</v>
      </c>
      <c r="T11" t="str">
        <f>IF(ABS(Q11-ROUND(S11,3))&lt;0.000000001,"PASS","FAIL")</f>
        <v>PASS</v>
      </c>
      <c r="U11" s="7">
        <f>I11-S11</f>
        <v>3.4449760765550258E-2</v>
      </c>
      <c r="V11" s="3">
        <f>IF(S11=0,"",U11/S11)</f>
        <v>0.23376623376623393</v>
      </c>
      <c r="W11" s="7">
        <f>F11-Q11</f>
        <v>3.5000000000000003E-2</v>
      </c>
      <c r="X11" t="str">
        <f>IF(ABS(ROUND(U11,3)-W11)&lt;0.000000001,"consistent","rounding difference")</f>
        <v>rounding difference</v>
      </c>
    </row>
    <row r="12" spans="1:24" x14ac:dyDescent="0.25">
      <c r="A12" s="1" t="s">
        <v>103</v>
      </c>
      <c r="B12">
        <v>4</v>
      </c>
      <c r="C12" s="1" t="s">
        <v>47</v>
      </c>
      <c r="D12" s="1" t="s">
        <v>14</v>
      </c>
      <c r="E12" s="1" t="s">
        <v>104</v>
      </c>
      <c r="F12" s="2">
        <v>1550000</v>
      </c>
      <c r="G12" s="1" t="s">
        <v>49</v>
      </c>
      <c r="H12" s="1" t="s">
        <v>105</v>
      </c>
      <c r="I12" s="2">
        <f>Model_Snapshot!I7</f>
        <v>1550000</v>
      </c>
      <c r="J12" s="1" t="s">
        <v>106</v>
      </c>
      <c r="K12" s="1" t="s">
        <v>52</v>
      </c>
      <c r="L12" s="2">
        <f>ROUND(I12,0)</f>
        <v>1550000</v>
      </c>
      <c r="M12" t="str">
        <f>IF(ABS(F12-L12)&lt;0.000000001,"PASS","FAIL")</f>
        <v>PASS</v>
      </c>
      <c r="N12" t="str">
        <f>D12&amp;" "&amp;IF(G12="money","$","")&amp;J12</f>
        <v>Opening cash $1,550,000</v>
      </c>
      <c r="O12" t="str">
        <f>IF(EXACT(E12,N12),"PASS","FAIL")</f>
        <v>PASS</v>
      </c>
      <c r="P12" s="1" t="s">
        <v>107</v>
      </c>
      <c r="Q12" s="2">
        <v>1200000</v>
      </c>
      <c r="R12" s="1" t="s">
        <v>108</v>
      </c>
      <c r="S12" s="2">
        <f>Model_Snapshot!E7</f>
        <v>1200000</v>
      </c>
      <c r="T12" t="str">
        <f>IF(ABS(Q12-ROUND(S12,0))&lt;0.000000001,"PASS","FAIL")</f>
        <v>PASS</v>
      </c>
      <c r="U12" s="2">
        <f>I12-S12</f>
        <v>350000</v>
      </c>
      <c r="V12" s="3">
        <f>IF(S12=0,"",U12/S12)</f>
        <v>0.29166666666666669</v>
      </c>
      <c r="W12" s="2">
        <f>F12-Q12</f>
        <v>350000</v>
      </c>
      <c r="X12" t="str">
        <f>IF(ABS(ROUND(U12,0)-W12)&lt;0.000000001,"consistent","rounding difference")</f>
        <v>consistent</v>
      </c>
    </row>
    <row r="13" spans="1:24" x14ac:dyDescent="0.25">
      <c r="A13" s="1" t="s">
        <v>109</v>
      </c>
      <c r="B13">
        <v>4</v>
      </c>
      <c r="C13" s="1" t="s">
        <v>56</v>
      </c>
      <c r="D13" s="1" t="s">
        <v>15</v>
      </c>
      <c r="E13" s="1" t="s">
        <v>110</v>
      </c>
      <c r="F13" s="2">
        <v>3270000</v>
      </c>
      <c r="G13" s="1" t="s">
        <v>49</v>
      </c>
      <c r="H13" s="1" t="s">
        <v>111</v>
      </c>
      <c r="I13" s="2">
        <f>Model_Snapshot!I8</f>
        <v>3270000</v>
      </c>
      <c r="J13" s="1" t="s">
        <v>112</v>
      </c>
      <c r="K13" s="1" t="s">
        <v>52</v>
      </c>
      <c r="L13" s="2">
        <f>ROUND(I13,0)</f>
        <v>3270000</v>
      </c>
      <c r="M13" t="str">
        <f>IF(ABS(F13-L13)&lt;0.000000001,"PASS","FAIL")</f>
        <v>PASS</v>
      </c>
      <c r="N13" t="str">
        <f>D13&amp;" "&amp;IF(G13="money","$","")&amp;J13</f>
        <v>Cash receipts $3,270,000</v>
      </c>
      <c r="O13" t="str">
        <f>IF(EXACT(E13,N13),"PASS","FAIL")</f>
        <v>PASS</v>
      </c>
      <c r="P13" s="1" t="s">
        <v>113</v>
      </c>
      <c r="Q13" s="2">
        <v>2810000</v>
      </c>
      <c r="R13" s="1" t="s">
        <v>114</v>
      </c>
      <c r="S13" s="2">
        <f>Model_Snapshot!E8</f>
        <v>2810000</v>
      </c>
      <c r="T13" t="str">
        <f>IF(ABS(Q13-ROUND(S13,0))&lt;0.000000001,"PASS","FAIL")</f>
        <v>PASS</v>
      </c>
      <c r="U13" s="2">
        <f>I13-S13</f>
        <v>460000</v>
      </c>
      <c r="V13" s="3">
        <f>IF(S13=0,"",U13/S13)</f>
        <v>0.16370106761565836</v>
      </c>
      <c r="W13" s="2">
        <f>F13-Q13</f>
        <v>460000</v>
      </c>
      <c r="X13" t="str">
        <f>IF(ABS(ROUND(U13,0)-W13)&lt;0.000000001,"consistent","rounding difference")</f>
        <v>consistent</v>
      </c>
    </row>
    <row r="14" spans="1:24" x14ac:dyDescent="0.25">
      <c r="A14" s="1" t="s">
        <v>115</v>
      </c>
      <c r="B14">
        <v>4</v>
      </c>
      <c r="C14" s="1" t="s">
        <v>63</v>
      </c>
      <c r="D14" s="1" t="s">
        <v>16</v>
      </c>
      <c r="E14" s="1" t="s">
        <v>116</v>
      </c>
      <c r="F14" s="2">
        <v>2640000</v>
      </c>
      <c r="G14" s="1" t="s">
        <v>49</v>
      </c>
      <c r="H14" s="1" t="s">
        <v>117</v>
      </c>
      <c r="I14" s="2">
        <f>Model_Snapshot!I9</f>
        <v>2640000</v>
      </c>
      <c r="J14" s="1" t="s">
        <v>118</v>
      </c>
      <c r="K14" s="1" t="s">
        <v>52</v>
      </c>
      <c r="L14" s="2">
        <f>ROUND(I14,0)</f>
        <v>2640000</v>
      </c>
      <c r="M14" t="str">
        <f>IF(ABS(F14-L14)&lt;0.000000001,"PASS","FAIL")</f>
        <v>PASS</v>
      </c>
      <c r="N14" t="str">
        <f>D14&amp;" "&amp;IF(G14="money","$","")&amp;J14</f>
        <v>Cash payments $2,640,000</v>
      </c>
      <c r="O14" t="str">
        <f>IF(EXACT(E14,N14),"PASS","FAIL")</f>
        <v>PASS</v>
      </c>
      <c r="P14" s="1" t="s">
        <v>119</v>
      </c>
      <c r="Q14" s="2">
        <v>2460000</v>
      </c>
      <c r="R14" s="1" t="s">
        <v>120</v>
      </c>
      <c r="S14" s="2">
        <f>Model_Snapshot!E9</f>
        <v>2460000</v>
      </c>
      <c r="T14" t="str">
        <f>IF(ABS(Q14-ROUND(S14,0))&lt;0.000000001,"PASS","FAIL")</f>
        <v>PASS</v>
      </c>
      <c r="U14" s="2">
        <f>I14-S14</f>
        <v>180000</v>
      </c>
      <c r="V14" s="3">
        <f>IF(S14=0,"",U14/S14)</f>
        <v>7.3170731707317069E-2</v>
      </c>
      <c r="W14" s="2">
        <f>F14-Q14</f>
        <v>180000</v>
      </c>
      <c r="X14" t="str">
        <f>IF(ABS(ROUND(U14,0)-W14)&lt;0.000000001,"consistent","rounding difference")</f>
        <v>consistent</v>
      </c>
    </row>
    <row r="15" spans="1:24" x14ac:dyDescent="0.25">
      <c r="A15" s="1" t="s">
        <v>121</v>
      </c>
      <c r="B15">
        <v>4</v>
      </c>
      <c r="C15" s="1" t="s">
        <v>83</v>
      </c>
      <c r="D15" s="1" t="s">
        <v>17</v>
      </c>
      <c r="E15" s="1" t="s">
        <v>64</v>
      </c>
      <c r="F15" s="2">
        <v>2180000</v>
      </c>
      <c r="G15" s="1" t="s">
        <v>49</v>
      </c>
      <c r="H15" s="1" t="s">
        <v>65</v>
      </c>
      <c r="I15" s="2">
        <f>Model_Snapshot!I10</f>
        <v>2180000</v>
      </c>
      <c r="J15" s="1" t="s">
        <v>66</v>
      </c>
      <c r="K15" s="1" t="s">
        <v>52</v>
      </c>
      <c r="L15" s="2">
        <f>ROUND(I15,0)</f>
        <v>2180000</v>
      </c>
      <c r="M15" t="str">
        <f>IF(ABS(F15-L15)&lt;0.000000001,"PASS","FAIL")</f>
        <v>PASS</v>
      </c>
      <c r="N15" t="str">
        <f>D15&amp;" "&amp;IF(G15="money","$","")&amp;J15</f>
        <v>Closing cash $2,180,000</v>
      </c>
      <c r="O15" t="str">
        <f>IF(EXACT(E15,N15),"PASS","FAIL")</f>
        <v>PASS</v>
      </c>
      <c r="P15" s="1" t="s">
        <v>67</v>
      </c>
      <c r="Q15" s="2">
        <v>1550000</v>
      </c>
      <c r="R15" s="1" t="s">
        <v>68</v>
      </c>
      <c r="S15" s="2">
        <f>Model_Snapshot!E10</f>
        <v>1550000</v>
      </c>
      <c r="T15" t="str">
        <f>IF(ABS(Q15-ROUND(S15,0))&lt;0.000000001,"PASS","FAIL")</f>
        <v>PASS</v>
      </c>
      <c r="U15" s="2">
        <f>I15-S15</f>
        <v>630000</v>
      </c>
      <c r="V15" s="3">
        <f>IF(S15=0,"",U15/S15)</f>
        <v>0.40645161290322579</v>
      </c>
      <c r="W15" s="2">
        <f>F15-Q15</f>
        <v>630000</v>
      </c>
      <c r="X15" t="str">
        <f>IF(ABS(ROUND(U15,0)-W15)&lt;0.000000001,"consistent","rounding difference")</f>
        <v>consistent</v>
      </c>
    </row>
    <row r="16" spans="1:24" x14ac:dyDescent="0.25">
      <c r="A16" s="1" t="s">
        <v>122</v>
      </c>
      <c r="B16">
        <v>5</v>
      </c>
      <c r="C16" s="1" t="s">
        <v>47</v>
      </c>
      <c r="D16" s="1" t="s">
        <v>18</v>
      </c>
      <c r="E16" s="1" t="s">
        <v>123</v>
      </c>
      <c r="F16" s="2">
        <v>230</v>
      </c>
      <c r="G16" s="1" t="s">
        <v>124</v>
      </c>
      <c r="H16" s="1" t="s">
        <v>125</v>
      </c>
      <c r="I16" s="2">
        <f>Model_Snapshot!I11</f>
        <v>230</v>
      </c>
      <c r="J16" s="1" t="s">
        <v>126</v>
      </c>
      <c r="K16" s="1" t="s">
        <v>127</v>
      </c>
      <c r="L16" s="2">
        <f>ROUND(I16,0)</f>
        <v>230</v>
      </c>
      <c r="M16" t="str">
        <f>IF(ABS(F16-L16)&lt;0.000000001,"PASS","FAIL")</f>
        <v>PASS</v>
      </c>
      <c r="N16" t="str">
        <f>D16&amp;" "&amp;IF(G16="money","$","")&amp;J16</f>
        <v>Customers at period end 230</v>
      </c>
      <c r="O16" t="str">
        <f>IF(EXACT(E16,N16),"PASS","FAIL")</f>
        <v>PASS</v>
      </c>
      <c r="P16" s="1" t="s">
        <v>128</v>
      </c>
      <c r="Q16" s="2">
        <v>200</v>
      </c>
      <c r="R16" s="1" t="s">
        <v>129</v>
      </c>
      <c r="S16" s="2">
        <f>Model_Snapshot!E11</f>
        <v>200</v>
      </c>
      <c r="T16" t="str">
        <f>IF(ABS(Q16-ROUND(S16,0))&lt;0.000000001,"PASS","FAIL")</f>
        <v>PASS</v>
      </c>
      <c r="U16" s="2">
        <f>I16-S16</f>
        <v>30</v>
      </c>
      <c r="V16" s="3">
        <f>IF(S16=0,"",U16/S16)</f>
        <v>0.15</v>
      </c>
      <c r="W16" s="2">
        <f>F16-Q16</f>
        <v>30</v>
      </c>
      <c r="X16" t="str">
        <f>IF(ABS(ROUND(U16,0)-W16)&lt;0.000000001,"consistent","rounding difference")</f>
        <v>consistent</v>
      </c>
    </row>
    <row r="17" spans="1:24" x14ac:dyDescent="0.25">
      <c r="A17" s="1" t="s">
        <v>130</v>
      </c>
      <c r="B17">
        <v>5</v>
      </c>
      <c r="C17" s="1" t="s">
        <v>56</v>
      </c>
      <c r="D17" s="1" t="s">
        <v>131</v>
      </c>
      <c r="E17" s="1" t="s">
        <v>132</v>
      </c>
      <c r="F17" s="2">
        <v>1150000</v>
      </c>
      <c r="G17" s="1" t="s">
        <v>49</v>
      </c>
      <c r="H17" s="1" t="s">
        <v>133</v>
      </c>
      <c r="I17" s="2">
        <f>Model_Snapshot!H2</f>
        <v>1150000</v>
      </c>
      <c r="J17" s="1" t="s">
        <v>134</v>
      </c>
      <c r="K17" s="1" t="s">
        <v>52</v>
      </c>
      <c r="L17" s="2">
        <f>ROUND(I17,0)</f>
        <v>1150000</v>
      </c>
      <c r="M17" t="str">
        <f>IF(ABS(F17-L17)&lt;0.000000001,"PASS","FAIL")</f>
        <v>PASS</v>
      </c>
      <c r="N17" t="str">
        <f>D17&amp;" "&amp;IF(G17="money","$","")&amp;J17</f>
        <v>September revenue $1,150,000</v>
      </c>
      <c r="O17" t="str">
        <f>IF(EXACT(E17,N17),"PASS","FAIL")</f>
        <v>PASS</v>
      </c>
      <c r="P17" s="1" t="s">
        <v>135</v>
      </c>
      <c r="Q17" s="2">
        <v>1000000</v>
      </c>
      <c r="R17" s="1" t="s">
        <v>136</v>
      </c>
      <c r="S17" s="2">
        <f>Model_Snapshot!D2</f>
        <v>1000000</v>
      </c>
      <c r="T17" t="str">
        <f>IF(ABS(Q17-ROUND(S17,0))&lt;0.000000001,"PASS","FAIL")</f>
        <v>PASS</v>
      </c>
      <c r="U17" s="2">
        <f>I17-S17</f>
        <v>150000</v>
      </c>
      <c r="V17" s="3">
        <f>IF(S17=0,"",U17/S17)</f>
        <v>0.15</v>
      </c>
      <c r="W17" s="2">
        <f>F17-Q17</f>
        <v>150000</v>
      </c>
      <c r="X17" t="str">
        <f>IF(ABS(ROUND(U17,0)-W17)&lt;0.000000001,"consistent","rounding difference")</f>
        <v>consistent</v>
      </c>
    </row>
    <row r="18" spans="1:24" x14ac:dyDescent="0.25">
      <c r="A18" s="1" t="s">
        <v>137</v>
      </c>
      <c r="B18">
        <v>6</v>
      </c>
      <c r="C18" s="1" t="s">
        <v>47</v>
      </c>
      <c r="D18" s="1" t="s">
        <v>5</v>
      </c>
      <c r="E18" s="1" t="s">
        <v>138</v>
      </c>
      <c r="F18" s="2">
        <v>1050000</v>
      </c>
      <c r="G18" s="1" t="s">
        <v>49</v>
      </c>
      <c r="H18" s="1" t="s">
        <v>139</v>
      </c>
      <c r="I18" s="2">
        <f>Model_Snapshot!F2</f>
        <v>1050000</v>
      </c>
      <c r="J18" s="1" t="s">
        <v>140</v>
      </c>
      <c r="K18" s="1" t="s">
        <v>52</v>
      </c>
      <c r="L18" s="2">
        <f>ROUND(I18,0)</f>
        <v>1050000</v>
      </c>
      <c r="M18" t="str">
        <f>IF(ABS(F18-L18)&lt;0.000000001,"PASS","FAIL")</f>
        <v>PASS</v>
      </c>
      <c r="N18" t="str">
        <f>D18&amp;" "&amp;IF(G18="money","$","")&amp;J18</f>
        <v>July $1,050,000</v>
      </c>
      <c r="O18" t="str">
        <f>IF(EXACT(E18,N18),"PASS","FAIL")</f>
        <v>PASS</v>
      </c>
      <c r="P18" s="1" t="s">
        <v>141</v>
      </c>
      <c r="Q18" s="2">
        <v>900000</v>
      </c>
      <c r="R18" s="1" t="s">
        <v>142</v>
      </c>
      <c r="S18" s="2">
        <f>Model_Snapshot!B2</f>
        <v>900000</v>
      </c>
      <c r="T18" t="str">
        <f>IF(ABS(Q18-ROUND(S18,0))&lt;0.000000001,"PASS","FAIL")</f>
        <v>PASS</v>
      </c>
      <c r="U18" s="2">
        <f>I18-S18</f>
        <v>150000</v>
      </c>
      <c r="V18" s="3">
        <f>IF(S18=0,"",U18/S18)</f>
        <v>0.16666666666666666</v>
      </c>
      <c r="W18" s="2">
        <f>F18-Q18</f>
        <v>150000</v>
      </c>
      <c r="X18" t="str">
        <f>IF(ABS(ROUND(U18,0)-W18)&lt;0.000000001,"consistent","rounding difference")</f>
        <v>consistent</v>
      </c>
    </row>
    <row r="19" spans="1:24" x14ac:dyDescent="0.25">
      <c r="A19" s="1" t="s">
        <v>143</v>
      </c>
      <c r="B19">
        <v>6</v>
      </c>
      <c r="C19" s="1" t="s">
        <v>56</v>
      </c>
      <c r="D19" s="1" t="s">
        <v>6</v>
      </c>
      <c r="E19" s="1" t="s">
        <v>144</v>
      </c>
      <c r="F19" s="2">
        <v>1100000</v>
      </c>
      <c r="G19" s="1" t="s">
        <v>49</v>
      </c>
      <c r="H19" s="1" t="s">
        <v>145</v>
      </c>
      <c r="I19" s="2">
        <f>Model_Snapshot!G2</f>
        <v>1100000</v>
      </c>
      <c r="J19" s="1" t="s">
        <v>146</v>
      </c>
      <c r="K19" s="1" t="s">
        <v>52</v>
      </c>
      <c r="L19" s="2">
        <f>ROUND(I19,0)</f>
        <v>1100000</v>
      </c>
      <c r="M19" t="str">
        <f>IF(ABS(F19-L19)&lt;0.000000001,"PASS","FAIL")</f>
        <v>PASS</v>
      </c>
      <c r="N19" t="str">
        <f>D19&amp;" "&amp;IF(G19="money","$","")&amp;J19</f>
        <v>August $1,100,000</v>
      </c>
      <c r="O19" t="str">
        <f>IF(EXACT(E19,N19),"PASS","FAIL")</f>
        <v>PASS</v>
      </c>
      <c r="P19" s="1" t="s">
        <v>147</v>
      </c>
      <c r="Q19" s="2">
        <v>950000</v>
      </c>
      <c r="R19" s="1" t="s">
        <v>148</v>
      </c>
      <c r="S19" s="2">
        <f>Model_Snapshot!C2</f>
        <v>950000</v>
      </c>
      <c r="T19" t="str">
        <f>IF(ABS(Q19-ROUND(S19,0))&lt;0.000000001,"PASS","FAIL")</f>
        <v>PASS</v>
      </c>
      <c r="U19" s="2">
        <f>I19-S19</f>
        <v>150000</v>
      </c>
      <c r="V19" s="3">
        <f>IF(S19=0,"",U19/S19)</f>
        <v>0.15789473684210525</v>
      </c>
      <c r="W19" s="2">
        <f>F19-Q19</f>
        <v>150000</v>
      </c>
      <c r="X19" t="str">
        <f>IF(ABS(ROUND(U19,0)-W19)&lt;0.000000001,"consistent","rounding difference")</f>
        <v>consistent</v>
      </c>
    </row>
    <row r="20" spans="1:24" x14ac:dyDescent="0.25">
      <c r="A20" s="1" t="s">
        <v>149</v>
      </c>
      <c r="B20">
        <v>6</v>
      </c>
      <c r="C20" s="1" t="s">
        <v>63</v>
      </c>
      <c r="D20" s="1" t="s">
        <v>7</v>
      </c>
      <c r="E20" s="1" t="s">
        <v>150</v>
      </c>
      <c r="F20" s="2">
        <v>1150000</v>
      </c>
      <c r="G20" s="1" t="s">
        <v>49</v>
      </c>
      <c r="H20" s="1" t="s">
        <v>133</v>
      </c>
      <c r="I20" s="2">
        <f>Model_Snapshot!H2</f>
        <v>1150000</v>
      </c>
      <c r="J20" s="1" t="s">
        <v>134</v>
      </c>
      <c r="K20" s="1" t="s">
        <v>52</v>
      </c>
      <c r="L20" s="2">
        <f>ROUND(I20,0)</f>
        <v>1150000</v>
      </c>
      <c r="M20" t="str">
        <f>IF(ABS(F20-L20)&lt;0.000000001,"PASS","FAIL")</f>
        <v>PASS</v>
      </c>
      <c r="N20" t="str">
        <f>D20&amp;" "&amp;IF(G20="money","$","")&amp;J20</f>
        <v>September $1,150,000</v>
      </c>
      <c r="O20" t="str">
        <f>IF(EXACT(E20,N20),"PASS","FAIL")</f>
        <v>PASS</v>
      </c>
      <c r="P20" s="1" t="s">
        <v>151</v>
      </c>
      <c r="Q20" s="2">
        <v>1000000</v>
      </c>
      <c r="R20" s="1" t="s">
        <v>136</v>
      </c>
      <c r="S20" s="2">
        <f>Model_Snapshot!D2</f>
        <v>1000000</v>
      </c>
      <c r="T20" t="str">
        <f>IF(ABS(Q20-ROUND(S20,0))&lt;0.000000001,"PASS","FAIL")</f>
        <v>PASS</v>
      </c>
      <c r="U20" s="2">
        <f>I20-S20</f>
        <v>150000</v>
      </c>
      <c r="V20" s="3">
        <f>IF(S20=0,"",U20/S20)</f>
        <v>0.15</v>
      </c>
      <c r="W20" s="2">
        <f>F20-Q20</f>
        <v>150000</v>
      </c>
      <c r="X20" t="str">
        <f>IF(ABS(ROUND(U20,0)-W20)&lt;0.000000001,"consistent","rounding difference")</f>
        <v>consistent</v>
      </c>
    </row>
    <row r="21" spans="1:24" x14ac:dyDescent="0.25">
      <c r="A21" s="1" t="s">
        <v>152</v>
      </c>
      <c r="B21">
        <v>6</v>
      </c>
      <c r="C21" s="1" t="s">
        <v>83</v>
      </c>
      <c r="D21" s="1" t="s">
        <v>153</v>
      </c>
      <c r="E21" s="1" t="s">
        <v>154</v>
      </c>
      <c r="F21" s="2">
        <v>3300000</v>
      </c>
      <c r="G21" s="1" t="s">
        <v>49</v>
      </c>
      <c r="H21" s="1" t="s">
        <v>50</v>
      </c>
      <c r="I21" s="2">
        <f>Model_Snapshot!I2</f>
        <v>3300000</v>
      </c>
      <c r="J21" s="1" t="s">
        <v>51</v>
      </c>
      <c r="K21" s="1" t="s">
        <v>52</v>
      </c>
      <c r="L21" s="2">
        <f>ROUND(I21,0)</f>
        <v>3300000</v>
      </c>
      <c r="M21" t="str">
        <f>IF(ABS(F21-L21)&lt;0.000000001,"PASS","FAIL")</f>
        <v>PASS</v>
      </c>
      <c r="N21" t="str">
        <f>D21&amp;" "&amp;IF(G21="money","$","")&amp;J21</f>
        <v>Quarter $3,300,000</v>
      </c>
      <c r="O21" t="str">
        <f>IF(EXACT(E21,N21),"PASS","FAIL")</f>
        <v>PASS</v>
      </c>
      <c r="P21" s="1" t="s">
        <v>155</v>
      </c>
      <c r="Q21" s="2">
        <v>2850000</v>
      </c>
      <c r="R21" s="1" t="s">
        <v>54</v>
      </c>
      <c r="S21" s="2">
        <f>Model_Snapshot!E2</f>
        <v>2850000</v>
      </c>
      <c r="T21" t="str">
        <f>IF(ABS(Q21-ROUND(S21,0))&lt;0.000000001,"PASS","FAIL")</f>
        <v>PASS</v>
      </c>
      <c r="U21" s="2">
        <f>I21-S21</f>
        <v>450000</v>
      </c>
      <c r="V21" s="3">
        <f>IF(S21=0,"",U21/S21)</f>
        <v>0.15789473684210525</v>
      </c>
      <c r="W21" s="2">
        <f>F21-Q21</f>
        <v>450000</v>
      </c>
      <c r="X21" t="str">
        <f>IF(ABS(ROUND(U21,0)-W21)&lt;0.000000001,"consistent","rounding difference")</f>
        <v>consistent</v>
      </c>
    </row>
  </sheetData>
  <conditionalFormatting sqref="M2:M21">
    <cfRule type="cellIs" dxfId="11" priority="1" stopIfTrue="1" operator="equal">
      <formula>"PASS"</formula>
    </cfRule>
    <cfRule type="cellIs" dxfId="10" priority="2" stopIfTrue="1" operator="equal">
      <formula>"FAIL"</formula>
    </cfRule>
  </conditionalFormatting>
  <conditionalFormatting sqref="O2:O21">
    <cfRule type="cellIs" dxfId="9" priority="3" stopIfTrue="1" operator="equal">
      <formula>"PASS"</formula>
    </cfRule>
    <cfRule type="cellIs" dxfId="8" priority="4" stopIfTrue="1" operator="equal">
      <formula>"FAIL"</formula>
    </cfRule>
  </conditionalFormatting>
  <conditionalFormatting sqref="T2:T21">
    <cfRule type="cellIs" dxfId="7" priority="5" stopIfTrue="1" operator="equal">
      <formula>"PASS"</formula>
    </cfRule>
    <cfRule type="cellIs" dxfId="6" priority="6" stopIfTrue="1" operator="equal">
      <formula>"FAIL"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CF550-0B15-46B7-AAC6-F0B608A195BD}">
  <dimension ref="A1:I20"/>
  <sheetViews>
    <sheetView workbookViewId="0"/>
  </sheetViews>
  <sheetFormatPr defaultRowHeight="15" x14ac:dyDescent="0.25"/>
  <cols>
    <col min="1" max="1" width="46.7109375" customWidth="1"/>
    <col min="2" max="2" width="24.42578125" bestFit="1" customWidth="1"/>
    <col min="3" max="3" width="22.28515625" bestFit="1" customWidth="1"/>
    <col min="4" max="4" width="24.28515625" bestFit="1" customWidth="1"/>
    <col min="5" max="5" width="46.7109375" customWidth="1"/>
    <col min="6" max="7" width="21.140625" bestFit="1" customWidth="1"/>
    <col min="8" max="8" width="28.5703125" bestFit="1" customWidth="1"/>
    <col min="9" max="9" width="6.85546875" bestFit="1" customWidth="1"/>
  </cols>
  <sheetData>
    <row r="1" spans="1:9" x14ac:dyDescent="0.25">
      <c r="A1" s="6" t="s">
        <v>22</v>
      </c>
      <c r="B1" s="6" t="s">
        <v>23</v>
      </c>
      <c r="C1" s="6" t="s">
        <v>24</v>
      </c>
      <c r="D1" s="6" t="s">
        <v>156</v>
      </c>
      <c r="E1" s="6" t="s">
        <v>157</v>
      </c>
      <c r="F1" s="6" t="s">
        <v>158</v>
      </c>
      <c r="G1" s="6" t="s">
        <v>159</v>
      </c>
      <c r="H1" s="6" t="s">
        <v>29</v>
      </c>
      <c r="I1" s="6" t="s">
        <v>160</v>
      </c>
    </row>
    <row r="2" spans="1:9" x14ac:dyDescent="0.25">
      <c r="A2" s="1" t="s">
        <v>161</v>
      </c>
      <c r="B2">
        <v>1</v>
      </c>
      <c r="C2" s="1" t="s">
        <v>162</v>
      </c>
      <c r="D2" s="1" t="s">
        <v>163</v>
      </c>
      <c r="E2" s="1" t="s">
        <v>164</v>
      </c>
      <c r="F2" s="1" t="s">
        <v>165</v>
      </c>
      <c r="G2" t="str">
        <f>SUBSTITUTE(E2,Model_Snapshot!$E$1,Model_Snapshot!$I$1)</f>
        <v>Lark · Q3 board update</v>
      </c>
      <c r="H2" s="1" t="s">
        <v>166</v>
      </c>
      <c r="I2" t="str">
        <f>IF(EXACT(F2,G2),"PASS","FAIL")</f>
        <v>PASS</v>
      </c>
    </row>
    <row r="3" spans="1:9" x14ac:dyDescent="0.25">
      <c r="A3" s="1" t="s">
        <v>167</v>
      </c>
      <c r="B3">
        <v>2</v>
      </c>
      <c r="C3" s="1" t="s">
        <v>162</v>
      </c>
      <c r="D3" s="1" t="s">
        <v>163</v>
      </c>
      <c r="E3" s="1" t="s">
        <v>168</v>
      </c>
      <c r="F3" s="1" t="s">
        <v>169</v>
      </c>
      <c r="G3" t="str">
        <f>SUBSTITUTE(E3,Model_Snapshot!$E$1,Model_Snapshot!$I$1)</f>
        <v>Q3 performance</v>
      </c>
      <c r="H3" s="1" t="s">
        <v>166</v>
      </c>
      <c r="I3" t="str">
        <f>IF(EXACT(F3,G3),"PASS","FAIL")</f>
        <v>PASS</v>
      </c>
    </row>
    <row r="4" spans="1:9" x14ac:dyDescent="0.25">
      <c r="A4" s="1" t="s">
        <v>170</v>
      </c>
      <c r="B4">
        <v>3</v>
      </c>
      <c r="C4" s="1" t="s">
        <v>162</v>
      </c>
      <c r="D4" s="1" t="s">
        <v>163</v>
      </c>
      <c r="E4" s="1" t="s">
        <v>171</v>
      </c>
      <c r="F4" s="1" t="s">
        <v>172</v>
      </c>
      <c r="G4" t="str">
        <f>SUBSTITUTE(E4,Model_Snapshot!$E$1,Model_Snapshot!$I$1)</f>
        <v>Q3 operating result</v>
      </c>
      <c r="H4" s="1" t="s">
        <v>166</v>
      </c>
      <c r="I4" t="str">
        <f>IF(EXACT(F4,G4),"PASS","FAIL")</f>
        <v>PASS</v>
      </c>
    </row>
    <row r="5" spans="1:9" x14ac:dyDescent="0.25">
      <c r="A5" s="1" t="s">
        <v>173</v>
      </c>
      <c r="B5">
        <v>4</v>
      </c>
      <c r="C5" s="1" t="s">
        <v>162</v>
      </c>
      <c r="D5" s="1" t="s">
        <v>163</v>
      </c>
      <c r="E5" s="1" t="s">
        <v>174</v>
      </c>
      <c r="F5" s="1" t="s">
        <v>175</v>
      </c>
      <c r="G5" t="str">
        <f>SUBSTITUTE(E5,Model_Snapshot!$E$1,Model_Snapshot!$I$1)</f>
        <v>Q3 cash bridge</v>
      </c>
      <c r="H5" s="1" t="s">
        <v>166</v>
      </c>
      <c r="I5" t="str">
        <f>IF(EXACT(F5,G5),"PASS","FAIL")</f>
        <v>PASS</v>
      </c>
    </row>
    <row r="6" spans="1:9" x14ac:dyDescent="0.25">
      <c r="A6" s="1" t="s">
        <v>176</v>
      </c>
      <c r="B6">
        <v>5</v>
      </c>
      <c r="C6" s="1" t="s">
        <v>162</v>
      </c>
      <c r="D6" s="1" t="s">
        <v>163</v>
      </c>
      <c r="E6" s="1" t="s">
        <v>177</v>
      </c>
      <c r="F6" s="1" t="s">
        <v>178</v>
      </c>
      <c r="G6" t="str">
        <f>SUBSTITUTE(E6,Model_Snapshot!$E$1,Model_Snapshot!$I$1)</f>
        <v>Q3 customers</v>
      </c>
      <c r="H6" s="1" t="s">
        <v>166</v>
      </c>
      <c r="I6" t="str">
        <f>IF(EXACT(F6,G6),"PASS","FAIL")</f>
        <v>PASS</v>
      </c>
    </row>
    <row r="7" spans="1:9" x14ac:dyDescent="0.25">
      <c r="A7" s="1" t="s">
        <v>179</v>
      </c>
      <c r="B7">
        <v>6</v>
      </c>
      <c r="C7" s="1" t="s">
        <v>162</v>
      </c>
      <c r="D7" s="1" t="s">
        <v>163</v>
      </c>
      <c r="E7" s="1" t="s">
        <v>180</v>
      </c>
      <c r="F7" s="1" t="s">
        <v>181</v>
      </c>
      <c r="G7" t="str">
        <f>SUBSTITUTE(E7,Model_Snapshot!$E$1,Model_Snapshot!$I$1)</f>
        <v>Q3 monthly revenue</v>
      </c>
      <c r="H7" s="1" t="s">
        <v>166</v>
      </c>
      <c r="I7" t="str">
        <f>IF(EXACT(F7,G7),"PASS","FAIL")</f>
        <v>PASS</v>
      </c>
    </row>
    <row r="8" spans="1:9" x14ac:dyDescent="0.25">
      <c r="A8" s="1" t="s">
        <v>182</v>
      </c>
      <c r="B8">
        <v>5</v>
      </c>
      <c r="C8" s="1" t="s">
        <v>56</v>
      </c>
      <c r="D8" s="1" t="s">
        <v>183</v>
      </c>
      <c r="E8" s="1" t="s">
        <v>184</v>
      </c>
      <c r="F8" s="1" t="s">
        <v>131</v>
      </c>
      <c r="G8" t="str">
        <f>Model_Snapshot!H1&amp;" revenue"</f>
        <v>September revenue</v>
      </c>
      <c r="H8" s="1" t="s">
        <v>185</v>
      </c>
      <c r="I8" t="str">
        <f>IF(EXACT(F8,G8),"PASS","FAIL")</f>
        <v>PASS</v>
      </c>
    </row>
    <row r="9" spans="1:9" x14ac:dyDescent="0.25">
      <c r="A9" s="1" t="s">
        <v>186</v>
      </c>
      <c r="B9">
        <v>6</v>
      </c>
      <c r="C9" s="1" t="s">
        <v>47</v>
      </c>
      <c r="D9" s="1" t="s">
        <v>187</v>
      </c>
      <c r="E9" s="1" t="s">
        <v>1</v>
      </c>
      <c r="F9" s="1" t="s">
        <v>5</v>
      </c>
      <c r="G9" s="1" t="str">
        <f>Model_Snapshot!F1</f>
        <v>July</v>
      </c>
      <c r="H9" s="1" t="s">
        <v>188</v>
      </c>
      <c r="I9" t="str">
        <f>IF(EXACT(F9,G9),"PASS","FAIL")</f>
        <v>PASS</v>
      </c>
    </row>
    <row r="10" spans="1:9" x14ac:dyDescent="0.25">
      <c r="A10" s="1" t="s">
        <v>189</v>
      </c>
      <c r="B10">
        <v>6</v>
      </c>
      <c r="C10" s="1" t="s">
        <v>56</v>
      </c>
      <c r="D10" s="1" t="s">
        <v>187</v>
      </c>
      <c r="E10" s="1" t="s">
        <v>2</v>
      </c>
      <c r="F10" s="1" t="s">
        <v>6</v>
      </c>
      <c r="G10" s="1" t="str">
        <f>Model_Snapshot!G1</f>
        <v>August</v>
      </c>
      <c r="H10" s="1" t="s">
        <v>190</v>
      </c>
      <c r="I10" t="str">
        <f>IF(EXACT(F10,G10),"PASS","FAIL")</f>
        <v>PASS</v>
      </c>
    </row>
    <row r="11" spans="1:9" x14ac:dyDescent="0.25">
      <c r="A11" s="1" t="s">
        <v>191</v>
      </c>
      <c r="B11">
        <v>6</v>
      </c>
      <c r="C11" s="1" t="s">
        <v>63</v>
      </c>
      <c r="D11" s="1" t="s">
        <v>187</v>
      </c>
      <c r="E11" s="1" t="s">
        <v>3</v>
      </c>
      <c r="F11" s="1" t="s">
        <v>7</v>
      </c>
      <c r="G11" s="1" t="str">
        <f>Model_Snapshot!H1</f>
        <v>September</v>
      </c>
      <c r="H11" s="1" t="s">
        <v>185</v>
      </c>
      <c r="I11" t="str">
        <f>IF(EXACT(F11,G11),"PASS","FAIL")</f>
        <v>PASS</v>
      </c>
    </row>
    <row r="12" spans="1:9" x14ac:dyDescent="0.25">
      <c r="A12" s="1" t="s">
        <v>192</v>
      </c>
      <c r="B12">
        <v>6</v>
      </c>
      <c r="C12" s="1" t="s">
        <v>83</v>
      </c>
      <c r="D12" s="1" t="s">
        <v>193</v>
      </c>
      <c r="E12" s="1" t="s">
        <v>153</v>
      </c>
      <c r="F12" s="1" t="s">
        <v>153</v>
      </c>
      <c r="G12" s="1" t="str">
        <f>E12</f>
        <v>Quarter</v>
      </c>
      <c r="H12" s="1" t="s">
        <v>194</v>
      </c>
      <c r="I12" t="str">
        <f>IF(EXACT(F12,G12),"PASS","FAIL")</f>
        <v>PASS</v>
      </c>
    </row>
    <row r="15" spans="1:9" x14ac:dyDescent="0.25">
      <c r="A15" s="4" t="s">
        <v>195</v>
      </c>
    </row>
    <row r="16" spans="1:9" x14ac:dyDescent="0.25">
      <c r="A16" s="4" t="s">
        <v>196</v>
      </c>
      <c r="B16" s="4" t="s">
        <v>197</v>
      </c>
      <c r="C16" s="4" t="s">
        <v>198</v>
      </c>
      <c r="D16" s="4" t="s">
        <v>199</v>
      </c>
      <c r="E16" s="4" t="s">
        <v>200</v>
      </c>
    </row>
    <row r="17" spans="1:5" x14ac:dyDescent="0.25">
      <c r="A17" s="1" t="s">
        <v>4</v>
      </c>
      <c r="B17">
        <v>0</v>
      </c>
      <c r="C17">
        <v>17</v>
      </c>
      <c r="D17" t="str">
        <f>IF(B17=0,"PASS","FAIL")</f>
        <v>PASS</v>
      </c>
      <c r="E17" s="1" t="s">
        <v>201</v>
      </c>
    </row>
    <row r="18" spans="1:5" x14ac:dyDescent="0.25">
      <c r="A18" s="1" t="s">
        <v>1</v>
      </c>
      <c r="B18">
        <v>0</v>
      </c>
      <c r="C18">
        <v>7</v>
      </c>
      <c r="D18" t="str">
        <f>IF(B18=0,"PASS","FAIL")</f>
        <v>PASS</v>
      </c>
      <c r="E18" s="1" t="s">
        <v>201</v>
      </c>
    </row>
    <row r="19" spans="1:5" x14ac:dyDescent="0.25">
      <c r="A19" s="1" t="s">
        <v>2</v>
      </c>
      <c r="B19">
        <v>0</v>
      </c>
      <c r="C19">
        <v>7</v>
      </c>
      <c r="D19" t="str">
        <f>IF(B19=0,"PASS","FAIL")</f>
        <v>PASS</v>
      </c>
      <c r="E19" s="1" t="s">
        <v>201</v>
      </c>
    </row>
    <row r="20" spans="1:5" x14ac:dyDescent="0.25">
      <c r="A20" s="1" t="s">
        <v>3</v>
      </c>
      <c r="B20">
        <v>0</v>
      </c>
      <c r="C20">
        <v>8</v>
      </c>
      <c r="D20" t="str">
        <f>IF(B20=0,"PASS","FAIL")</f>
        <v>PASS</v>
      </c>
      <c r="E20" s="1" t="s">
        <v>201</v>
      </c>
    </row>
  </sheetData>
  <conditionalFormatting sqref="I2:I12">
    <cfRule type="cellIs" dxfId="5" priority="1" stopIfTrue="1" operator="equal">
      <formula>"PASS"</formula>
    </cfRule>
    <cfRule type="cellIs" dxfId="4" priority="2" stopIfTrue="1" operator="equal">
      <formula>"FAIL"</formula>
    </cfRule>
  </conditionalFormatting>
  <conditionalFormatting sqref="D17:D20">
    <cfRule type="cellIs" dxfId="3" priority="3" stopIfTrue="1" operator="equal">
      <formula>"PASS"</formula>
    </cfRule>
    <cfRule type="cellIs" dxfId="2" priority="4" stopIfTrue="1" operator="equal">
      <formula>"FAIL"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80F9-3519-4456-BE4C-475C2B865605}">
  <dimension ref="A1:H103"/>
  <sheetViews>
    <sheetView workbookViewId="0"/>
  </sheetViews>
  <sheetFormatPr defaultRowHeight="15" x14ac:dyDescent="0.25"/>
  <cols>
    <col min="1" max="1" width="13.7109375" bestFit="1" customWidth="1"/>
    <col min="2" max="2" width="11" bestFit="1" customWidth="1"/>
    <col min="3" max="3" width="70.7109375" customWidth="1"/>
    <col min="4" max="7" width="12" bestFit="1" customWidth="1"/>
    <col min="8" max="8" width="6.85546875" bestFit="1" customWidth="1"/>
  </cols>
  <sheetData>
    <row r="1" spans="1:8" x14ac:dyDescent="0.25">
      <c r="A1" s="6" t="s">
        <v>202</v>
      </c>
      <c r="B1" s="6" t="s">
        <v>203</v>
      </c>
      <c r="C1" s="6" t="s">
        <v>204</v>
      </c>
      <c r="D1" s="6" t="s">
        <v>205</v>
      </c>
      <c r="E1" s="6" t="s">
        <v>206</v>
      </c>
      <c r="F1" s="6" t="s">
        <v>207</v>
      </c>
      <c r="G1" s="6" t="s">
        <v>208</v>
      </c>
      <c r="H1" s="6" t="s">
        <v>160</v>
      </c>
    </row>
    <row r="2" spans="1:8" x14ac:dyDescent="0.25">
      <c r="A2" s="1" t="s">
        <v>209</v>
      </c>
      <c r="B2" s="1" t="s">
        <v>210</v>
      </c>
      <c r="C2" s="1" t="s">
        <v>211</v>
      </c>
      <c r="D2" s="2">
        <f>Model_Snapshot!B4</f>
        <v>540000</v>
      </c>
      <c r="E2" s="2">
        <f>Model_Snapshot!B2-Model_Snapshot!B3</f>
        <v>540000</v>
      </c>
      <c r="F2" s="2">
        <f>D2-E2</f>
        <v>0</v>
      </c>
      <c r="G2">
        <v>0</v>
      </c>
      <c r="H2" t="str">
        <f>IF(ABS(F2)&lt;=G2+0.000000001,"PASS","FAIL")</f>
        <v>PASS</v>
      </c>
    </row>
    <row r="3" spans="1:8" x14ac:dyDescent="0.25">
      <c r="A3" s="1" t="s">
        <v>212</v>
      </c>
      <c r="B3" s="1" t="s">
        <v>210</v>
      </c>
      <c r="C3" s="1" t="s">
        <v>213</v>
      </c>
      <c r="D3" s="2">
        <f>Model_Snapshot!B6</f>
        <v>120000</v>
      </c>
      <c r="E3" s="2">
        <f>Model_Snapshot!B4-Model_Snapshot!B5</f>
        <v>120000</v>
      </c>
      <c r="F3" s="2">
        <f>D3-E3</f>
        <v>0</v>
      </c>
      <c r="G3">
        <v>0</v>
      </c>
      <c r="H3" t="str">
        <f>IF(ABS(F3)&lt;=G3+0.000000001,"PASS","FAIL")</f>
        <v>PASS</v>
      </c>
    </row>
    <row r="4" spans="1:8" x14ac:dyDescent="0.25">
      <c r="A4" s="1" t="s">
        <v>214</v>
      </c>
      <c r="B4" s="1" t="s">
        <v>210</v>
      </c>
      <c r="C4" s="1" t="s">
        <v>215</v>
      </c>
      <c r="D4" s="2">
        <f>Model_Snapshot!B10</f>
        <v>1280000</v>
      </c>
      <c r="E4" s="2">
        <f>Model_Snapshot!B7+Model_Snapshot!B8-Model_Snapshot!B9</f>
        <v>1280000</v>
      </c>
      <c r="F4" s="2">
        <f>D4-E4</f>
        <v>0</v>
      </c>
      <c r="G4">
        <v>0</v>
      </c>
      <c r="H4" t="str">
        <f>IF(ABS(F4)&lt;=G4+0.000000001,"PASS","FAIL")</f>
        <v>PASS</v>
      </c>
    </row>
    <row r="5" spans="1:8" x14ac:dyDescent="0.25">
      <c r="A5" s="1" t="s">
        <v>216</v>
      </c>
      <c r="B5" s="1" t="s">
        <v>210</v>
      </c>
      <c r="C5" s="1" t="s">
        <v>217</v>
      </c>
      <c r="D5">
        <f>Model_Snapshot!B12</f>
        <v>0.6</v>
      </c>
      <c r="E5">
        <f>Model_Snapshot!B4/Model_Snapshot!B2</f>
        <v>0.6</v>
      </c>
      <c r="F5">
        <f>D5-E5</f>
        <v>0</v>
      </c>
      <c r="G5">
        <v>1.0000000000000001E-9</v>
      </c>
      <c r="H5" t="str">
        <f>IF(ABS(F5)&lt;=G5+0.000000001,"PASS","FAIL")</f>
        <v>PASS</v>
      </c>
    </row>
    <row r="6" spans="1:8" x14ac:dyDescent="0.25">
      <c r="A6" s="1" t="s">
        <v>218</v>
      </c>
      <c r="B6" s="1" t="s">
        <v>210</v>
      </c>
      <c r="C6" s="1" t="s">
        <v>219</v>
      </c>
      <c r="D6">
        <f>Model_Snapshot!B13</f>
        <v>0.13333333333333333</v>
      </c>
      <c r="E6">
        <f>Model_Snapshot!B6/Model_Snapshot!B2</f>
        <v>0.13333333333333333</v>
      </c>
      <c r="F6">
        <f>D6-E6</f>
        <v>0</v>
      </c>
      <c r="G6">
        <v>1.0000000000000001E-9</v>
      </c>
      <c r="H6" t="str">
        <f>IF(ABS(F6)&lt;=G6+0.000000001,"PASS","FAIL")</f>
        <v>PASS</v>
      </c>
    </row>
    <row r="7" spans="1:8" x14ac:dyDescent="0.25">
      <c r="A7" s="1" t="s">
        <v>220</v>
      </c>
      <c r="B7" s="1" t="s">
        <v>210</v>
      </c>
      <c r="C7" s="1" t="s">
        <v>221</v>
      </c>
      <c r="D7" s="2">
        <f>Model_Snapshot!C4</f>
        <v>570000</v>
      </c>
      <c r="E7" s="2">
        <f>Model_Snapshot!C2-Model_Snapshot!C3</f>
        <v>570000</v>
      </c>
      <c r="F7" s="2">
        <f>D7-E7</f>
        <v>0</v>
      </c>
      <c r="G7">
        <v>0</v>
      </c>
      <c r="H7" t="str">
        <f>IF(ABS(F7)&lt;=G7+0.000000001,"PASS","FAIL")</f>
        <v>PASS</v>
      </c>
    </row>
    <row r="8" spans="1:8" x14ac:dyDescent="0.25">
      <c r="A8" s="1" t="s">
        <v>222</v>
      </c>
      <c r="B8" s="1" t="s">
        <v>210</v>
      </c>
      <c r="C8" s="1" t="s">
        <v>223</v>
      </c>
      <c r="D8" s="2">
        <f>Model_Snapshot!C6</f>
        <v>140000</v>
      </c>
      <c r="E8" s="2">
        <f>Model_Snapshot!C4-Model_Snapshot!C5</f>
        <v>140000</v>
      </c>
      <c r="F8" s="2">
        <f>D8-E8</f>
        <v>0</v>
      </c>
      <c r="G8">
        <v>0</v>
      </c>
      <c r="H8" t="str">
        <f>IF(ABS(F8)&lt;=G8+0.000000001,"PASS","FAIL")</f>
        <v>PASS</v>
      </c>
    </row>
    <row r="9" spans="1:8" x14ac:dyDescent="0.25">
      <c r="A9" s="1" t="s">
        <v>224</v>
      </c>
      <c r="B9" s="1" t="s">
        <v>210</v>
      </c>
      <c r="C9" s="1" t="s">
        <v>225</v>
      </c>
      <c r="D9" s="2">
        <f>Model_Snapshot!C10</f>
        <v>1400000</v>
      </c>
      <c r="E9" s="2">
        <f>Model_Snapshot!C7+Model_Snapshot!C8-Model_Snapshot!C9</f>
        <v>1400000</v>
      </c>
      <c r="F9" s="2">
        <f>D9-E9</f>
        <v>0</v>
      </c>
      <c r="G9">
        <v>0</v>
      </c>
      <c r="H9" t="str">
        <f>IF(ABS(F9)&lt;=G9+0.000000001,"PASS","FAIL")</f>
        <v>PASS</v>
      </c>
    </row>
    <row r="10" spans="1:8" x14ac:dyDescent="0.25">
      <c r="A10" s="1" t="s">
        <v>226</v>
      </c>
      <c r="B10" s="1" t="s">
        <v>210</v>
      </c>
      <c r="C10" s="1" t="s">
        <v>227</v>
      </c>
      <c r="D10">
        <f>Model_Snapshot!C12</f>
        <v>0.6</v>
      </c>
      <c r="E10">
        <f>Model_Snapshot!C4/Model_Snapshot!C2</f>
        <v>0.6</v>
      </c>
      <c r="F10">
        <f>D10-E10</f>
        <v>0</v>
      </c>
      <c r="G10">
        <v>1.0000000000000001E-9</v>
      </c>
      <c r="H10" t="str">
        <f>IF(ABS(F10)&lt;=G10+0.000000001,"PASS","FAIL")</f>
        <v>PASS</v>
      </c>
    </row>
    <row r="11" spans="1:8" x14ac:dyDescent="0.25">
      <c r="A11" s="1" t="s">
        <v>228</v>
      </c>
      <c r="B11" s="1" t="s">
        <v>210</v>
      </c>
      <c r="C11" s="1" t="s">
        <v>229</v>
      </c>
      <c r="D11">
        <f>Model_Snapshot!C13</f>
        <v>0.14736842105263157</v>
      </c>
      <c r="E11">
        <f>Model_Snapshot!C6/Model_Snapshot!C2</f>
        <v>0.14736842105263157</v>
      </c>
      <c r="F11">
        <f>D11-E11</f>
        <v>0</v>
      </c>
      <c r="G11">
        <v>1.0000000000000001E-9</v>
      </c>
      <c r="H11" t="str">
        <f>IF(ABS(F11)&lt;=G11+0.000000001,"PASS","FAIL")</f>
        <v>PASS</v>
      </c>
    </row>
    <row r="12" spans="1:8" x14ac:dyDescent="0.25">
      <c r="A12" s="1" t="s">
        <v>230</v>
      </c>
      <c r="B12" s="1" t="s">
        <v>210</v>
      </c>
      <c r="C12" s="1" t="s">
        <v>231</v>
      </c>
      <c r="D12" s="2">
        <f>Model_Snapshot!D4</f>
        <v>600000</v>
      </c>
      <c r="E12" s="2">
        <f>Model_Snapshot!D2-Model_Snapshot!D3</f>
        <v>600000</v>
      </c>
      <c r="F12" s="2">
        <f>D12-E12</f>
        <v>0</v>
      </c>
      <c r="G12">
        <v>0</v>
      </c>
      <c r="H12" t="str">
        <f>IF(ABS(F12)&lt;=G12+0.000000001,"PASS","FAIL")</f>
        <v>PASS</v>
      </c>
    </row>
    <row r="13" spans="1:8" x14ac:dyDescent="0.25">
      <c r="A13" s="1" t="s">
        <v>232</v>
      </c>
      <c r="B13" s="1" t="s">
        <v>210</v>
      </c>
      <c r="C13" s="1" t="s">
        <v>233</v>
      </c>
      <c r="D13" s="2">
        <f>Model_Snapshot!D6</f>
        <v>160000</v>
      </c>
      <c r="E13" s="2">
        <f>Model_Snapshot!D4-Model_Snapshot!D5</f>
        <v>160000</v>
      </c>
      <c r="F13" s="2">
        <f>D13-E13</f>
        <v>0</v>
      </c>
      <c r="G13">
        <v>0</v>
      </c>
      <c r="H13" t="str">
        <f>IF(ABS(F13)&lt;=G13+0.000000001,"PASS","FAIL")</f>
        <v>PASS</v>
      </c>
    </row>
    <row r="14" spans="1:8" x14ac:dyDescent="0.25">
      <c r="A14" s="1" t="s">
        <v>234</v>
      </c>
      <c r="B14" s="1" t="s">
        <v>210</v>
      </c>
      <c r="C14" s="1" t="s">
        <v>235</v>
      </c>
      <c r="D14" s="2">
        <f>Model_Snapshot!D10</f>
        <v>1550000</v>
      </c>
      <c r="E14" s="2">
        <f>Model_Snapshot!D7+Model_Snapshot!D8-Model_Snapshot!D9</f>
        <v>1550000</v>
      </c>
      <c r="F14" s="2">
        <f>D14-E14</f>
        <v>0</v>
      </c>
      <c r="G14">
        <v>0</v>
      </c>
      <c r="H14" t="str">
        <f>IF(ABS(F14)&lt;=G14+0.000000001,"PASS","FAIL")</f>
        <v>PASS</v>
      </c>
    </row>
    <row r="15" spans="1:8" x14ac:dyDescent="0.25">
      <c r="A15" s="1" t="s">
        <v>236</v>
      </c>
      <c r="B15" s="1" t="s">
        <v>210</v>
      </c>
      <c r="C15" s="1" t="s">
        <v>237</v>
      </c>
      <c r="D15">
        <f>Model_Snapshot!D12</f>
        <v>0.6</v>
      </c>
      <c r="E15">
        <f>Model_Snapshot!D4/Model_Snapshot!D2</f>
        <v>0.6</v>
      </c>
      <c r="F15">
        <f>D15-E15</f>
        <v>0</v>
      </c>
      <c r="G15">
        <v>1.0000000000000001E-9</v>
      </c>
      <c r="H15" t="str">
        <f>IF(ABS(F15)&lt;=G15+0.000000001,"PASS","FAIL")</f>
        <v>PASS</v>
      </c>
    </row>
    <row r="16" spans="1:8" x14ac:dyDescent="0.25">
      <c r="A16" s="1" t="s">
        <v>238</v>
      </c>
      <c r="B16" s="1" t="s">
        <v>210</v>
      </c>
      <c r="C16" s="1" t="s">
        <v>239</v>
      </c>
      <c r="D16">
        <f>Model_Snapshot!D13</f>
        <v>0.16</v>
      </c>
      <c r="E16">
        <f>Model_Snapshot!D6/Model_Snapshot!D2</f>
        <v>0.16</v>
      </c>
      <c r="F16">
        <f>D16-E16</f>
        <v>0</v>
      </c>
      <c r="G16">
        <v>1.0000000000000001E-9</v>
      </c>
      <c r="H16" t="str">
        <f>IF(ABS(F16)&lt;=G16+0.000000001,"PASS","FAIL")</f>
        <v>PASS</v>
      </c>
    </row>
    <row r="17" spans="1:8" x14ac:dyDescent="0.25">
      <c r="A17" s="1" t="s">
        <v>240</v>
      </c>
      <c r="B17" s="1" t="s">
        <v>210</v>
      </c>
      <c r="C17" s="1" t="s">
        <v>241</v>
      </c>
      <c r="D17" s="2">
        <f>Model_Snapshot!E4</f>
        <v>1710000</v>
      </c>
      <c r="E17" s="2">
        <f>Model_Snapshot!E2-Model_Snapshot!E3</f>
        <v>1710000</v>
      </c>
      <c r="F17" s="2">
        <f>D17-E17</f>
        <v>0</v>
      </c>
      <c r="G17">
        <v>0</v>
      </c>
      <c r="H17" t="str">
        <f>IF(ABS(F17)&lt;=G17+0.000000001,"PASS","FAIL")</f>
        <v>PASS</v>
      </c>
    </row>
    <row r="18" spans="1:8" x14ac:dyDescent="0.25">
      <c r="A18" s="1" t="s">
        <v>242</v>
      </c>
      <c r="B18" s="1" t="s">
        <v>210</v>
      </c>
      <c r="C18" s="1" t="s">
        <v>243</v>
      </c>
      <c r="D18" s="2">
        <f>Model_Snapshot!E6</f>
        <v>420000</v>
      </c>
      <c r="E18" s="2">
        <f>Model_Snapshot!E4-Model_Snapshot!E5</f>
        <v>420000</v>
      </c>
      <c r="F18" s="2">
        <f>D18-E18</f>
        <v>0</v>
      </c>
      <c r="G18">
        <v>0</v>
      </c>
      <c r="H18" t="str">
        <f>IF(ABS(F18)&lt;=G18+0.000000001,"PASS","FAIL")</f>
        <v>PASS</v>
      </c>
    </row>
    <row r="19" spans="1:8" x14ac:dyDescent="0.25">
      <c r="A19" s="1" t="s">
        <v>244</v>
      </c>
      <c r="B19" s="1" t="s">
        <v>210</v>
      </c>
      <c r="C19" s="1" t="s">
        <v>245</v>
      </c>
      <c r="D19" s="2">
        <f>Model_Snapshot!E10</f>
        <v>1550000</v>
      </c>
      <c r="E19" s="2">
        <f>Model_Snapshot!E7+Model_Snapshot!E8-Model_Snapshot!E9</f>
        <v>1550000</v>
      </c>
      <c r="F19" s="2">
        <f>D19-E19</f>
        <v>0</v>
      </c>
      <c r="G19">
        <v>0</v>
      </c>
      <c r="H19" t="str">
        <f>IF(ABS(F19)&lt;=G19+0.000000001,"PASS","FAIL")</f>
        <v>PASS</v>
      </c>
    </row>
    <row r="20" spans="1:8" x14ac:dyDescent="0.25">
      <c r="A20" s="1" t="s">
        <v>246</v>
      </c>
      <c r="B20" s="1" t="s">
        <v>210</v>
      </c>
      <c r="C20" s="1" t="s">
        <v>247</v>
      </c>
      <c r="D20">
        <f>Model_Snapshot!E12</f>
        <v>0.6</v>
      </c>
      <c r="E20">
        <f>Model_Snapshot!E4/Model_Snapshot!E2</f>
        <v>0.6</v>
      </c>
      <c r="F20">
        <f>D20-E20</f>
        <v>0</v>
      </c>
      <c r="G20">
        <v>1.0000000000000001E-9</v>
      </c>
      <c r="H20" t="str">
        <f>IF(ABS(F20)&lt;=G20+0.000000001,"PASS","FAIL")</f>
        <v>PASS</v>
      </c>
    </row>
    <row r="21" spans="1:8" x14ac:dyDescent="0.25">
      <c r="A21" s="1" t="s">
        <v>248</v>
      </c>
      <c r="B21" s="1" t="s">
        <v>210</v>
      </c>
      <c r="C21" s="1" t="s">
        <v>249</v>
      </c>
      <c r="D21">
        <f>Model_Snapshot!E13</f>
        <v>0.14736842105263157</v>
      </c>
      <c r="E21">
        <f>Model_Snapshot!E6/Model_Snapshot!E2</f>
        <v>0.14736842105263157</v>
      </c>
      <c r="F21">
        <f>D21-E21</f>
        <v>0</v>
      </c>
      <c r="G21">
        <v>1.0000000000000001E-9</v>
      </c>
      <c r="H21" t="str">
        <f>IF(ABS(F21)&lt;=G21+0.000000001,"PASS","FAIL")</f>
        <v>PASS</v>
      </c>
    </row>
    <row r="22" spans="1:8" x14ac:dyDescent="0.25">
      <c r="A22" s="1" t="s">
        <v>250</v>
      </c>
      <c r="B22" s="1" t="s">
        <v>210</v>
      </c>
      <c r="C22" s="1" t="s">
        <v>251</v>
      </c>
      <c r="D22" s="2">
        <f>Model_Snapshot!F4</f>
        <v>630000</v>
      </c>
      <c r="E22" s="2">
        <f>Model_Snapshot!F2-Model_Snapshot!F3</f>
        <v>630000</v>
      </c>
      <c r="F22" s="2">
        <f>D22-E22</f>
        <v>0</v>
      </c>
      <c r="G22">
        <v>0</v>
      </c>
      <c r="H22" t="str">
        <f>IF(ABS(F22)&lt;=G22+0.000000001,"PASS","FAIL")</f>
        <v>PASS</v>
      </c>
    </row>
    <row r="23" spans="1:8" x14ac:dyDescent="0.25">
      <c r="A23" s="1" t="s">
        <v>252</v>
      </c>
      <c r="B23" s="1" t="s">
        <v>210</v>
      </c>
      <c r="C23" s="1" t="s">
        <v>253</v>
      </c>
      <c r="D23" s="2">
        <f>Model_Snapshot!F6</f>
        <v>180000</v>
      </c>
      <c r="E23" s="2">
        <f>Model_Snapshot!F4-Model_Snapshot!F5</f>
        <v>180000</v>
      </c>
      <c r="F23" s="2">
        <f>D23-E23</f>
        <v>0</v>
      </c>
      <c r="G23">
        <v>0</v>
      </c>
      <c r="H23" t="str">
        <f>IF(ABS(F23)&lt;=G23+0.000000001,"PASS","FAIL")</f>
        <v>PASS</v>
      </c>
    </row>
    <row r="24" spans="1:8" x14ac:dyDescent="0.25">
      <c r="A24" s="1" t="s">
        <v>254</v>
      </c>
      <c r="B24" s="1" t="s">
        <v>210</v>
      </c>
      <c r="C24" s="1" t="s">
        <v>255</v>
      </c>
      <c r="D24" s="2">
        <f>Model_Snapshot!F10</f>
        <v>1730000</v>
      </c>
      <c r="E24" s="2">
        <f>Model_Snapshot!F7+Model_Snapshot!F8-Model_Snapshot!F9</f>
        <v>1730000</v>
      </c>
      <c r="F24" s="2">
        <f>D24-E24</f>
        <v>0</v>
      </c>
      <c r="G24">
        <v>0</v>
      </c>
      <c r="H24" t="str">
        <f>IF(ABS(F24)&lt;=G24+0.000000001,"PASS","FAIL")</f>
        <v>PASS</v>
      </c>
    </row>
    <row r="25" spans="1:8" x14ac:dyDescent="0.25">
      <c r="A25" s="1" t="s">
        <v>256</v>
      </c>
      <c r="B25" s="1" t="s">
        <v>210</v>
      </c>
      <c r="C25" s="1" t="s">
        <v>257</v>
      </c>
      <c r="D25">
        <f>Model_Snapshot!F12</f>
        <v>0.6</v>
      </c>
      <c r="E25">
        <f>Model_Snapshot!F4/Model_Snapshot!F2</f>
        <v>0.6</v>
      </c>
      <c r="F25">
        <f>D25-E25</f>
        <v>0</v>
      </c>
      <c r="G25">
        <v>1.0000000000000001E-9</v>
      </c>
      <c r="H25" t="str">
        <f>IF(ABS(F25)&lt;=G25+0.000000001,"PASS","FAIL")</f>
        <v>PASS</v>
      </c>
    </row>
    <row r="26" spans="1:8" x14ac:dyDescent="0.25">
      <c r="A26" s="1" t="s">
        <v>258</v>
      </c>
      <c r="B26" s="1" t="s">
        <v>210</v>
      </c>
      <c r="C26" s="1" t="s">
        <v>259</v>
      </c>
      <c r="D26">
        <f>Model_Snapshot!F13</f>
        <v>0.17142857142857143</v>
      </c>
      <c r="E26">
        <f>Model_Snapshot!F6/Model_Snapshot!F2</f>
        <v>0.17142857142857143</v>
      </c>
      <c r="F26">
        <f>D26-E26</f>
        <v>0</v>
      </c>
      <c r="G26">
        <v>1.0000000000000001E-9</v>
      </c>
      <c r="H26" t="str">
        <f>IF(ABS(F26)&lt;=G26+0.000000001,"PASS","FAIL")</f>
        <v>PASS</v>
      </c>
    </row>
    <row r="27" spans="1:8" x14ac:dyDescent="0.25">
      <c r="A27" s="1" t="s">
        <v>260</v>
      </c>
      <c r="B27" s="1" t="s">
        <v>210</v>
      </c>
      <c r="C27" s="1" t="s">
        <v>261</v>
      </c>
      <c r="D27" s="2">
        <f>Model_Snapshot!G4</f>
        <v>660000</v>
      </c>
      <c r="E27" s="2">
        <f>Model_Snapshot!G2-Model_Snapshot!G3</f>
        <v>660000</v>
      </c>
      <c r="F27" s="2">
        <f>D27-E27</f>
        <v>0</v>
      </c>
      <c r="G27">
        <v>0</v>
      </c>
      <c r="H27" t="str">
        <f>IF(ABS(F27)&lt;=G27+0.000000001,"PASS","FAIL")</f>
        <v>PASS</v>
      </c>
    </row>
    <row r="28" spans="1:8" x14ac:dyDescent="0.25">
      <c r="A28" s="1" t="s">
        <v>262</v>
      </c>
      <c r="B28" s="1" t="s">
        <v>210</v>
      </c>
      <c r="C28" s="1" t="s">
        <v>263</v>
      </c>
      <c r="D28" s="2">
        <f>Model_Snapshot!G6</f>
        <v>200000</v>
      </c>
      <c r="E28" s="2">
        <f>Model_Snapshot!G4-Model_Snapshot!G5</f>
        <v>200000</v>
      </c>
      <c r="F28" s="2">
        <f>D28-E28</f>
        <v>0</v>
      </c>
      <c r="G28">
        <v>0</v>
      </c>
      <c r="H28" t="str">
        <f>IF(ABS(F28)&lt;=G28+0.000000001,"PASS","FAIL")</f>
        <v>PASS</v>
      </c>
    </row>
    <row r="29" spans="1:8" x14ac:dyDescent="0.25">
      <c r="A29" s="1" t="s">
        <v>264</v>
      </c>
      <c r="B29" s="1" t="s">
        <v>210</v>
      </c>
      <c r="C29" s="1" t="s">
        <v>265</v>
      </c>
      <c r="D29" s="2">
        <f>Model_Snapshot!G10</f>
        <v>1940000</v>
      </c>
      <c r="E29" s="2">
        <f>Model_Snapshot!G7+Model_Snapshot!G8-Model_Snapshot!G9</f>
        <v>1940000</v>
      </c>
      <c r="F29" s="2">
        <f>D29-E29</f>
        <v>0</v>
      </c>
      <c r="G29">
        <v>0</v>
      </c>
      <c r="H29" t="str">
        <f>IF(ABS(F29)&lt;=G29+0.000000001,"PASS","FAIL")</f>
        <v>PASS</v>
      </c>
    </row>
    <row r="30" spans="1:8" x14ac:dyDescent="0.25">
      <c r="A30" s="1" t="s">
        <v>266</v>
      </c>
      <c r="B30" s="1" t="s">
        <v>210</v>
      </c>
      <c r="C30" s="1" t="s">
        <v>267</v>
      </c>
      <c r="D30">
        <f>Model_Snapshot!G12</f>
        <v>0.6</v>
      </c>
      <c r="E30">
        <f>Model_Snapshot!G4/Model_Snapshot!G2</f>
        <v>0.6</v>
      </c>
      <c r="F30">
        <f>D30-E30</f>
        <v>0</v>
      </c>
      <c r="G30">
        <v>1.0000000000000001E-9</v>
      </c>
      <c r="H30" t="str">
        <f>IF(ABS(F30)&lt;=G30+0.000000001,"PASS","FAIL")</f>
        <v>PASS</v>
      </c>
    </row>
    <row r="31" spans="1:8" x14ac:dyDescent="0.25">
      <c r="A31" s="1" t="s">
        <v>268</v>
      </c>
      <c r="B31" s="1" t="s">
        <v>210</v>
      </c>
      <c r="C31" s="1" t="s">
        <v>269</v>
      </c>
      <c r="D31">
        <f>Model_Snapshot!G13</f>
        <v>0.18181818181818182</v>
      </c>
      <c r="E31">
        <f>Model_Snapshot!G6/Model_Snapshot!G2</f>
        <v>0.18181818181818182</v>
      </c>
      <c r="F31">
        <f>D31-E31</f>
        <v>0</v>
      </c>
      <c r="G31">
        <v>1.0000000000000001E-9</v>
      </c>
      <c r="H31" t="str">
        <f>IF(ABS(F31)&lt;=G31+0.000000001,"PASS","FAIL")</f>
        <v>PASS</v>
      </c>
    </row>
    <row r="32" spans="1:8" x14ac:dyDescent="0.25">
      <c r="A32" s="1" t="s">
        <v>270</v>
      </c>
      <c r="B32" s="1" t="s">
        <v>210</v>
      </c>
      <c r="C32" s="1" t="s">
        <v>271</v>
      </c>
      <c r="D32" s="2">
        <f>Model_Snapshot!H4</f>
        <v>690000</v>
      </c>
      <c r="E32" s="2">
        <f>Model_Snapshot!H2-Model_Snapshot!H3</f>
        <v>690000</v>
      </c>
      <c r="F32" s="2">
        <f>D32-E32</f>
        <v>0</v>
      </c>
      <c r="G32">
        <v>0</v>
      </c>
      <c r="H32" t="str">
        <f>IF(ABS(F32)&lt;=G32+0.000000001,"PASS","FAIL")</f>
        <v>PASS</v>
      </c>
    </row>
    <row r="33" spans="1:8" x14ac:dyDescent="0.25">
      <c r="A33" s="1" t="s">
        <v>272</v>
      </c>
      <c r="B33" s="1" t="s">
        <v>210</v>
      </c>
      <c r="C33" s="1" t="s">
        <v>273</v>
      </c>
      <c r="D33" s="2">
        <f>Model_Snapshot!H6</f>
        <v>220000</v>
      </c>
      <c r="E33" s="2">
        <f>Model_Snapshot!H4-Model_Snapshot!H5</f>
        <v>220000</v>
      </c>
      <c r="F33" s="2">
        <f>D33-E33</f>
        <v>0</v>
      </c>
      <c r="G33">
        <v>0</v>
      </c>
      <c r="H33" t="str">
        <f>IF(ABS(F33)&lt;=G33+0.000000001,"PASS","FAIL")</f>
        <v>PASS</v>
      </c>
    </row>
    <row r="34" spans="1:8" x14ac:dyDescent="0.25">
      <c r="A34" s="1" t="s">
        <v>274</v>
      </c>
      <c r="B34" s="1" t="s">
        <v>210</v>
      </c>
      <c r="C34" s="1" t="s">
        <v>275</v>
      </c>
      <c r="D34" s="2">
        <f>Model_Snapshot!H10</f>
        <v>2180000</v>
      </c>
      <c r="E34" s="2">
        <f>Model_Snapshot!H7+Model_Snapshot!H8-Model_Snapshot!H9</f>
        <v>2180000</v>
      </c>
      <c r="F34" s="2">
        <f>D34-E34</f>
        <v>0</v>
      </c>
      <c r="G34">
        <v>0</v>
      </c>
      <c r="H34" t="str">
        <f>IF(ABS(F34)&lt;=G34+0.000000001,"PASS","FAIL")</f>
        <v>PASS</v>
      </c>
    </row>
    <row r="35" spans="1:8" x14ac:dyDescent="0.25">
      <c r="A35" s="1" t="s">
        <v>276</v>
      </c>
      <c r="B35" s="1" t="s">
        <v>210</v>
      </c>
      <c r="C35" s="1" t="s">
        <v>277</v>
      </c>
      <c r="D35">
        <f>Model_Snapshot!H12</f>
        <v>0.6</v>
      </c>
      <c r="E35">
        <f>Model_Snapshot!H4/Model_Snapshot!H2</f>
        <v>0.6</v>
      </c>
      <c r="F35">
        <f>D35-E35</f>
        <v>0</v>
      </c>
      <c r="G35">
        <v>1.0000000000000001E-9</v>
      </c>
      <c r="H35" t="str">
        <f>IF(ABS(F35)&lt;=G35+0.000000001,"PASS","FAIL")</f>
        <v>PASS</v>
      </c>
    </row>
    <row r="36" spans="1:8" x14ac:dyDescent="0.25">
      <c r="A36" s="1" t="s">
        <v>278</v>
      </c>
      <c r="B36" s="1" t="s">
        <v>210</v>
      </c>
      <c r="C36" s="1" t="s">
        <v>279</v>
      </c>
      <c r="D36">
        <f>Model_Snapshot!H13</f>
        <v>0.19130434782608696</v>
      </c>
      <c r="E36">
        <f>Model_Snapshot!H6/Model_Snapshot!H2</f>
        <v>0.19130434782608696</v>
      </c>
      <c r="F36">
        <f>D36-E36</f>
        <v>0</v>
      </c>
      <c r="G36">
        <v>1.0000000000000001E-9</v>
      </c>
      <c r="H36" t="str">
        <f>IF(ABS(F36)&lt;=G36+0.000000001,"PASS","FAIL")</f>
        <v>PASS</v>
      </c>
    </row>
    <row r="37" spans="1:8" x14ac:dyDescent="0.25">
      <c r="A37" s="1" t="s">
        <v>280</v>
      </c>
      <c r="B37" s="1" t="s">
        <v>210</v>
      </c>
      <c r="C37" s="1" t="s">
        <v>281</v>
      </c>
      <c r="D37" s="2">
        <f>Model_Snapshot!I4</f>
        <v>1980000</v>
      </c>
      <c r="E37" s="2">
        <f>Model_Snapshot!I2-Model_Snapshot!I3</f>
        <v>1980000</v>
      </c>
      <c r="F37" s="2">
        <f>D37-E37</f>
        <v>0</v>
      </c>
      <c r="G37">
        <v>0</v>
      </c>
      <c r="H37" t="str">
        <f>IF(ABS(F37)&lt;=G37+0.000000001,"PASS","FAIL")</f>
        <v>PASS</v>
      </c>
    </row>
    <row r="38" spans="1:8" x14ac:dyDescent="0.25">
      <c r="A38" s="1" t="s">
        <v>282</v>
      </c>
      <c r="B38" s="1" t="s">
        <v>210</v>
      </c>
      <c r="C38" s="1" t="s">
        <v>283</v>
      </c>
      <c r="D38" s="2">
        <f>Model_Snapshot!I6</f>
        <v>600000</v>
      </c>
      <c r="E38" s="2">
        <f>Model_Snapshot!I4-Model_Snapshot!I5</f>
        <v>600000</v>
      </c>
      <c r="F38" s="2">
        <f>D38-E38</f>
        <v>0</v>
      </c>
      <c r="G38">
        <v>0</v>
      </c>
      <c r="H38" t="str">
        <f>IF(ABS(F38)&lt;=G38+0.000000001,"PASS","FAIL")</f>
        <v>PASS</v>
      </c>
    </row>
    <row r="39" spans="1:8" x14ac:dyDescent="0.25">
      <c r="A39" s="1" t="s">
        <v>284</v>
      </c>
      <c r="B39" s="1" t="s">
        <v>210</v>
      </c>
      <c r="C39" s="1" t="s">
        <v>285</v>
      </c>
      <c r="D39" s="2">
        <f>Model_Snapshot!I10</f>
        <v>2180000</v>
      </c>
      <c r="E39" s="2">
        <f>Model_Snapshot!I7+Model_Snapshot!I8-Model_Snapshot!I9</f>
        <v>2180000</v>
      </c>
      <c r="F39" s="2">
        <f>D39-E39</f>
        <v>0</v>
      </c>
      <c r="G39">
        <v>0</v>
      </c>
      <c r="H39" t="str">
        <f>IF(ABS(F39)&lt;=G39+0.000000001,"PASS","FAIL")</f>
        <v>PASS</v>
      </c>
    </row>
    <row r="40" spans="1:8" x14ac:dyDescent="0.25">
      <c r="A40" s="1" t="s">
        <v>286</v>
      </c>
      <c r="B40" s="1" t="s">
        <v>210</v>
      </c>
      <c r="C40" s="1" t="s">
        <v>287</v>
      </c>
      <c r="D40">
        <f>Model_Snapshot!I12</f>
        <v>0.6</v>
      </c>
      <c r="E40">
        <f>Model_Snapshot!I4/Model_Snapshot!I2</f>
        <v>0.6</v>
      </c>
      <c r="F40">
        <f>D40-E40</f>
        <v>0</v>
      </c>
      <c r="G40">
        <v>1.0000000000000001E-9</v>
      </c>
      <c r="H40" t="str">
        <f>IF(ABS(F40)&lt;=G40+0.000000001,"PASS","FAIL")</f>
        <v>PASS</v>
      </c>
    </row>
    <row r="41" spans="1:8" x14ac:dyDescent="0.25">
      <c r="A41" s="1" t="s">
        <v>288</v>
      </c>
      <c r="B41" s="1" t="s">
        <v>210</v>
      </c>
      <c r="C41" s="1" t="s">
        <v>289</v>
      </c>
      <c r="D41">
        <f>Model_Snapshot!I13</f>
        <v>0.18181818181818182</v>
      </c>
      <c r="E41">
        <f>Model_Snapshot!I6/Model_Snapshot!I2</f>
        <v>0.18181818181818182</v>
      </c>
      <c r="F41">
        <f>D41-E41</f>
        <v>0</v>
      </c>
      <c r="G41">
        <v>1.0000000000000001E-9</v>
      </c>
      <c r="H41" t="str">
        <f>IF(ABS(F41)&lt;=G41+0.000000001,"PASS","FAIL")</f>
        <v>PASS</v>
      </c>
    </row>
    <row r="42" spans="1:8" x14ac:dyDescent="0.25">
      <c r="A42" s="1" t="s">
        <v>290</v>
      </c>
      <c r="B42" s="1" t="s">
        <v>210</v>
      </c>
      <c r="C42" s="1" t="s">
        <v>291</v>
      </c>
      <c r="D42" s="2">
        <f>Model_Snapshot!E2</f>
        <v>2850000</v>
      </c>
      <c r="E42" s="2">
        <f>SUM(Model_Snapshot!B2:D2)</f>
        <v>2850000</v>
      </c>
      <c r="F42" s="2">
        <f>D42-E42</f>
        <v>0</v>
      </c>
      <c r="G42">
        <v>0</v>
      </c>
      <c r="H42" t="str">
        <f>IF(ABS(F42)&lt;=G42+0.000000001,"PASS","FAIL")</f>
        <v>PASS</v>
      </c>
    </row>
    <row r="43" spans="1:8" x14ac:dyDescent="0.25">
      <c r="A43" s="1" t="s">
        <v>292</v>
      </c>
      <c r="B43" s="1" t="s">
        <v>210</v>
      </c>
      <c r="C43" s="1" t="s">
        <v>293</v>
      </c>
      <c r="D43" s="2">
        <f>Model_Snapshot!E3</f>
        <v>1140000</v>
      </c>
      <c r="E43" s="2">
        <f>SUM(Model_Snapshot!B3:D3)</f>
        <v>1140000</v>
      </c>
      <c r="F43" s="2">
        <f>D43-E43</f>
        <v>0</v>
      </c>
      <c r="G43">
        <v>0</v>
      </c>
      <c r="H43" t="str">
        <f>IF(ABS(F43)&lt;=G43+0.000000001,"PASS","FAIL")</f>
        <v>PASS</v>
      </c>
    </row>
    <row r="44" spans="1:8" x14ac:dyDescent="0.25">
      <c r="A44" s="1" t="s">
        <v>294</v>
      </c>
      <c r="B44" s="1" t="s">
        <v>210</v>
      </c>
      <c r="C44" s="1" t="s">
        <v>295</v>
      </c>
      <c r="D44" s="2">
        <f>Model_Snapshot!E5</f>
        <v>1290000</v>
      </c>
      <c r="E44" s="2">
        <f>SUM(Model_Snapshot!B5:D5)</f>
        <v>1290000</v>
      </c>
      <c r="F44" s="2">
        <f>D44-E44</f>
        <v>0</v>
      </c>
      <c r="G44">
        <v>0</v>
      </c>
      <c r="H44" t="str">
        <f>IF(ABS(F44)&lt;=G44+0.000000001,"PASS","FAIL")</f>
        <v>PASS</v>
      </c>
    </row>
    <row r="45" spans="1:8" x14ac:dyDescent="0.25">
      <c r="A45" s="1" t="s">
        <v>296</v>
      </c>
      <c r="B45" s="1" t="s">
        <v>210</v>
      </c>
      <c r="C45" s="1" t="s">
        <v>297</v>
      </c>
      <c r="D45" s="2">
        <f>Model_Snapshot!E8</f>
        <v>2810000</v>
      </c>
      <c r="E45" s="2">
        <f>SUM(Model_Snapshot!B8:D8)</f>
        <v>2810000</v>
      </c>
      <c r="F45" s="2">
        <f>D45-E45</f>
        <v>0</v>
      </c>
      <c r="G45">
        <v>0</v>
      </c>
      <c r="H45" t="str">
        <f>IF(ABS(F45)&lt;=G45+0.000000001,"PASS","FAIL")</f>
        <v>PASS</v>
      </c>
    </row>
    <row r="46" spans="1:8" x14ac:dyDescent="0.25">
      <c r="A46" s="1" t="s">
        <v>298</v>
      </c>
      <c r="B46" s="1" t="s">
        <v>210</v>
      </c>
      <c r="C46" s="1" t="s">
        <v>299</v>
      </c>
      <c r="D46" s="2">
        <f>Model_Snapshot!E9</f>
        <v>2460000</v>
      </c>
      <c r="E46" s="2">
        <f>SUM(Model_Snapshot!B9:D9)</f>
        <v>2460000</v>
      </c>
      <c r="F46" s="2">
        <f>D46-E46</f>
        <v>0</v>
      </c>
      <c r="G46">
        <v>0</v>
      </c>
      <c r="H46" t="str">
        <f>IF(ABS(F46)&lt;=G46+0.000000001,"PASS","FAIL")</f>
        <v>PASS</v>
      </c>
    </row>
    <row r="47" spans="1:8" x14ac:dyDescent="0.25">
      <c r="A47" s="1" t="s">
        <v>300</v>
      </c>
      <c r="B47" s="1" t="s">
        <v>210</v>
      </c>
      <c r="C47" s="1" t="s">
        <v>301</v>
      </c>
      <c r="D47" s="2">
        <f>Model_Snapshot!E7</f>
        <v>1200000</v>
      </c>
      <c r="E47" s="2">
        <f>Model_Snapshot!B7</f>
        <v>1200000</v>
      </c>
      <c r="F47" s="2">
        <f>D47-E47</f>
        <v>0</v>
      </c>
      <c r="G47">
        <v>0</v>
      </c>
      <c r="H47" t="str">
        <f>IF(ABS(F47)&lt;=G47+0.000000001,"PASS","FAIL")</f>
        <v>PASS</v>
      </c>
    </row>
    <row r="48" spans="1:8" x14ac:dyDescent="0.25">
      <c r="A48" s="1" t="s">
        <v>302</v>
      </c>
      <c r="B48" s="1" t="s">
        <v>210</v>
      </c>
      <c r="C48" s="1" t="s">
        <v>303</v>
      </c>
      <c r="D48" s="2">
        <f>Model_Snapshot!E10</f>
        <v>1550000</v>
      </c>
      <c r="E48" s="2">
        <f>Model_Snapshot!D10</f>
        <v>1550000</v>
      </c>
      <c r="F48" s="2">
        <f>D48-E48</f>
        <v>0</v>
      </c>
      <c r="G48">
        <v>0</v>
      </c>
      <c r="H48" t="str">
        <f>IF(ABS(F48)&lt;=G48+0.000000001,"PASS","FAIL")</f>
        <v>PASS</v>
      </c>
    </row>
    <row r="49" spans="1:8" x14ac:dyDescent="0.25">
      <c r="A49" s="1" t="s">
        <v>304</v>
      </c>
      <c r="B49" s="1" t="s">
        <v>210</v>
      </c>
      <c r="C49" s="1" t="s">
        <v>305</v>
      </c>
      <c r="D49" s="2">
        <f>Model_Snapshot!E11</f>
        <v>200</v>
      </c>
      <c r="E49" s="2">
        <f>Model_Snapshot!D11</f>
        <v>200</v>
      </c>
      <c r="F49" s="2">
        <f>D49-E49</f>
        <v>0</v>
      </c>
      <c r="G49">
        <v>0</v>
      </c>
      <c r="H49" t="str">
        <f>IF(ABS(F49)&lt;=G49+0.000000001,"PASS","FAIL")</f>
        <v>PASS</v>
      </c>
    </row>
    <row r="50" spans="1:8" x14ac:dyDescent="0.25">
      <c r="A50" s="1" t="s">
        <v>306</v>
      </c>
      <c r="B50" s="1" t="s">
        <v>210</v>
      </c>
      <c r="C50" s="1" t="s">
        <v>307</v>
      </c>
      <c r="D50" s="2">
        <f>Model_Snapshot!I2</f>
        <v>3300000</v>
      </c>
      <c r="E50" s="2">
        <f>SUM(Model_Snapshot!F2:H2)</f>
        <v>3300000</v>
      </c>
      <c r="F50" s="2">
        <f>D50-E50</f>
        <v>0</v>
      </c>
      <c r="G50">
        <v>0</v>
      </c>
      <c r="H50" t="str">
        <f>IF(ABS(F50)&lt;=G50+0.000000001,"PASS","FAIL")</f>
        <v>PASS</v>
      </c>
    </row>
    <row r="51" spans="1:8" x14ac:dyDescent="0.25">
      <c r="A51" s="1" t="s">
        <v>308</v>
      </c>
      <c r="B51" s="1" t="s">
        <v>210</v>
      </c>
      <c r="C51" s="1" t="s">
        <v>309</v>
      </c>
      <c r="D51" s="2">
        <f>Model_Snapshot!I3</f>
        <v>1320000</v>
      </c>
      <c r="E51" s="2">
        <f>SUM(Model_Snapshot!F3:H3)</f>
        <v>1320000</v>
      </c>
      <c r="F51" s="2">
        <f>D51-E51</f>
        <v>0</v>
      </c>
      <c r="G51">
        <v>0</v>
      </c>
      <c r="H51" t="str">
        <f>IF(ABS(F51)&lt;=G51+0.000000001,"PASS","FAIL")</f>
        <v>PASS</v>
      </c>
    </row>
    <row r="52" spans="1:8" x14ac:dyDescent="0.25">
      <c r="A52" s="1" t="s">
        <v>310</v>
      </c>
      <c r="B52" s="1" t="s">
        <v>210</v>
      </c>
      <c r="C52" s="1" t="s">
        <v>311</v>
      </c>
      <c r="D52" s="2">
        <f>Model_Snapshot!I5</f>
        <v>1380000</v>
      </c>
      <c r="E52" s="2">
        <f>SUM(Model_Snapshot!F5:H5)</f>
        <v>1380000</v>
      </c>
      <c r="F52" s="2">
        <f>D52-E52</f>
        <v>0</v>
      </c>
      <c r="G52">
        <v>0</v>
      </c>
      <c r="H52" t="str">
        <f>IF(ABS(F52)&lt;=G52+0.000000001,"PASS","FAIL")</f>
        <v>PASS</v>
      </c>
    </row>
    <row r="53" spans="1:8" x14ac:dyDescent="0.25">
      <c r="A53" s="1" t="s">
        <v>312</v>
      </c>
      <c r="B53" s="1" t="s">
        <v>210</v>
      </c>
      <c r="C53" s="1" t="s">
        <v>313</v>
      </c>
      <c r="D53" s="2">
        <f>Model_Snapshot!I8</f>
        <v>3270000</v>
      </c>
      <c r="E53" s="2">
        <f>SUM(Model_Snapshot!F8:H8)</f>
        <v>3270000</v>
      </c>
      <c r="F53" s="2">
        <f>D53-E53</f>
        <v>0</v>
      </c>
      <c r="G53">
        <v>0</v>
      </c>
      <c r="H53" t="str">
        <f>IF(ABS(F53)&lt;=G53+0.000000001,"PASS","FAIL")</f>
        <v>PASS</v>
      </c>
    </row>
    <row r="54" spans="1:8" x14ac:dyDescent="0.25">
      <c r="A54" s="1" t="s">
        <v>314</v>
      </c>
      <c r="B54" s="1" t="s">
        <v>210</v>
      </c>
      <c r="C54" s="1" t="s">
        <v>315</v>
      </c>
      <c r="D54" s="2">
        <f>Model_Snapshot!I9</f>
        <v>2640000</v>
      </c>
      <c r="E54" s="2">
        <f>SUM(Model_Snapshot!F9:H9)</f>
        <v>2640000</v>
      </c>
      <c r="F54" s="2">
        <f>D54-E54</f>
        <v>0</v>
      </c>
      <c r="G54">
        <v>0</v>
      </c>
      <c r="H54" t="str">
        <f>IF(ABS(F54)&lt;=G54+0.000000001,"PASS","FAIL")</f>
        <v>PASS</v>
      </c>
    </row>
    <row r="55" spans="1:8" x14ac:dyDescent="0.25">
      <c r="A55" s="1" t="s">
        <v>316</v>
      </c>
      <c r="B55" s="1" t="s">
        <v>210</v>
      </c>
      <c r="C55" s="1" t="s">
        <v>317</v>
      </c>
      <c r="D55" s="2">
        <f>Model_Snapshot!I7</f>
        <v>1550000</v>
      </c>
      <c r="E55" s="2">
        <f>Model_Snapshot!F7</f>
        <v>1550000</v>
      </c>
      <c r="F55" s="2">
        <f>D55-E55</f>
        <v>0</v>
      </c>
      <c r="G55">
        <v>0</v>
      </c>
      <c r="H55" t="str">
        <f>IF(ABS(F55)&lt;=G55+0.000000001,"PASS","FAIL")</f>
        <v>PASS</v>
      </c>
    </row>
    <row r="56" spans="1:8" x14ac:dyDescent="0.25">
      <c r="A56" s="1" t="s">
        <v>318</v>
      </c>
      <c r="B56" s="1" t="s">
        <v>210</v>
      </c>
      <c r="C56" s="1" t="s">
        <v>319</v>
      </c>
      <c r="D56" s="2">
        <f>Model_Snapshot!I10</f>
        <v>2180000</v>
      </c>
      <c r="E56" s="2">
        <f>Model_Snapshot!H10</f>
        <v>2180000</v>
      </c>
      <c r="F56" s="2">
        <f>D56-E56</f>
        <v>0</v>
      </c>
      <c r="G56">
        <v>0</v>
      </c>
      <c r="H56" t="str">
        <f>IF(ABS(F56)&lt;=G56+0.000000001,"PASS","FAIL")</f>
        <v>PASS</v>
      </c>
    </row>
    <row r="57" spans="1:8" x14ac:dyDescent="0.25">
      <c r="A57" s="1" t="s">
        <v>320</v>
      </c>
      <c r="B57" s="1" t="s">
        <v>210</v>
      </c>
      <c r="C57" s="1" t="s">
        <v>321</v>
      </c>
      <c r="D57" s="2">
        <f>Model_Snapshot!I11</f>
        <v>230</v>
      </c>
      <c r="E57" s="2">
        <f>Model_Snapshot!H11</f>
        <v>230</v>
      </c>
      <c r="F57" s="2">
        <f>D57-E57</f>
        <v>0</v>
      </c>
      <c r="G57">
        <v>0</v>
      </c>
      <c r="H57" t="str">
        <f>IF(ABS(F57)&lt;=G57+0.000000001,"PASS","FAIL")</f>
        <v>PASS</v>
      </c>
    </row>
    <row r="58" spans="1:8" x14ac:dyDescent="0.25">
      <c r="A58" s="1" t="s">
        <v>322</v>
      </c>
      <c r="B58" s="1" t="s">
        <v>210</v>
      </c>
      <c r="C58" s="1" t="s">
        <v>323</v>
      </c>
      <c r="D58" s="2">
        <f>Model_Snapshot!C7</f>
        <v>1280000</v>
      </c>
      <c r="E58" s="2">
        <f>Model_Snapshot!B10</f>
        <v>1280000</v>
      </c>
      <c r="F58" s="2">
        <f>D58-E58</f>
        <v>0</v>
      </c>
      <c r="G58">
        <v>0</v>
      </c>
      <c r="H58" t="str">
        <f>IF(ABS(F58)&lt;=G58+0.000000001,"PASS","FAIL")</f>
        <v>PASS</v>
      </c>
    </row>
    <row r="59" spans="1:8" x14ac:dyDescent="0.25">
      <c r="A59" s="1" t="s">
        <v>324</v>
      </c>
      <c r="B59" s="1" t="s">
        <v>210</v>
      </c>
      <c r="C59" s="1" t="s">
        <v>325</v>
      </c>
      <c r="D59" s="2">
        <f>Model_Snapshot!D7</f>
        <v>1400000</v>
      </c>
      <c r="E59" s="2">
        <f>Model_Snapshot!C10</f>
        <v>1400000</v>
      </c>
      <c r="F59" s="2">
        <f>D59-E59</f>
        <v>0</v>
      </c>
      <c r="G59">
        <v>0</v>
      </c>
      <c r="H59" t="str">
        <f>IF(ABS(F59)&lt;=G59+0.000000001,"PASS","FAIL")</f>
        <v>PASS</v>
      </c>
    </row>
    <row r="60" spans="1:8" x14ac:dyDescent="0.25">
      <c r="A60" s="1" t="s">
        <v>326</v>
      </c>
      <c r="B60" s="1" t="s">
        <v>210</v>
      </c>
      <c r="C60" s="1" t="s">
        <v>327</v>
      </c>
      <c r="D60" s="2">
        <f>Model_Snapshot!F7</f>
        <v>1550000</v>
      </c>
      <c r="E60" s="2">
        <f>Model_Snapshot!D10</f>
        <v>1550000</v>
      </c>
      <c r="F60" s="2">
        <f>D60-E60</f>
        <v>0</v>
      </c>
      <c r="G60">
        <v>0</v>
      </c>
      <c r="H60" t="str">
        <f>IF(ABS(F60)&lt;=G60+0.000000001,"PASS","FAIL")</f>
        <v>PASS</v>
      </c>
    </row>
    <row r="61" spans="1:8" x14ac:dyDescent="0.25">
      <c r="A61" s="1" t="s">
        <v>328</v>
      </c>
      <c r="B61" s="1" t="s">
        <v>210</v>
      </c>
      <c r="C61" s="1" t="s">
        <v>329</v>
      </c>
      <c r="D61" s="2">
        <f>Model_Snapshot!G7</f>
        <v>1730000</v>
      </c>
      <c r="E61" s="2">
        <f>Model_Snapshot!F10</f>
        <v>1730000</v>
      </c>
      <c r="F61" s="2">
        <f>D61-E61</f>
        <v>0</v>
      </c>
      <c r="G61">
        <v>0</v>
      </c>
      <c r="H61" t="str">
        <f>IF(ABS(F61)&lt;=G61+0.000000001,"PASS","FAIL")</f>
        <v>PASS</v>
      </c>
    </row>
    <row r="62" spans="1:8" x14ac:dyDescent="0.25">
      <c r="A62" s="1" t="s">
        <v>330</v>
      </c>
      <c r="B62" s="1" t="s">
        <v>210</v>
      </c>
      <c r="C62" s="1" t="s">
        <v>331</v>
      </c>
      <c r="D62" s="2">
        <f>Model_Snapshot!H7</f>
        <v>1940000</v>
      </c>
      <c r="E62" s="2">
        <f>Model_Snapshot!G10</f>
        <v>1940000</v>
      </c>
      <c r="F62" s="2">
        <f>D62-E62</f>
        <v>0</v>
      </c>
      <c r="G62">
        <v>0</v>
      </c>
      <c r="H62" t="str">
        <f>IF(ABS(F62)&lt;=G62+0.000000001,"PASS","FAIL")</f>
        <v>PASS</v>
      </c>
    </row>
    <row r="63" spans="1:8" x14ac:dyDescent="0.25">
      <c r="A63" s="1" t="s">
        <v>332</v>
      </c>
      <c r="B63" s="1" t="s">
        <v>210</v>
      </c>
      <c r="C63" s="1" t="s">
        <v>333</v>
      </c>
      <c r="D63" s="2">
        <f>Model_Snapshot!I7</f>
        <v>1550000</v>
      </c>
      <c r="E63" s="2">
        <f>Model_Snapshot!E10</f>
        <v>1550000</v>
      </c>
      <c r="F63" s="2">
        <f>D63-E63</f>
        <v>0</v>
      </c>
      <c r="G63">
        <v>0</v>
      </c>
      <c r="H63" t="str">
        <f>IF(ABS(F63)&lt;=G63+0.000000001,"PASS","FAIL")</f>
        <v>PASS</v>
      </c>
    </row>
    <row r="64" spans="1:8" x14ac:dyDescent="0.25">
      <c r="A64" s="1" t="s">
        <v>334</v>
      </c>
      <c r="B64" s="1" t="s">
        <v>335</v>
      </c>
      <c r="C64" s="1" t="s">
        <v>336</v>
      </c>
      <c r="D64">
        <f>INDEX(TieOut!$F:$F,MATCH("S2_GP",TieOut!$A:$A,0))</f>
        <v>1980000</v>
      </c>
      <c r="E64">
        <f>INDEX(TieOut!$F:$F,MATCH("S2_Rev",TieOut!$A:$A,0))-INDEX(TieOut!$F:$F,MATCH("S2_COS",TieOut!$A:$A,0))</f>
        <v>1980000</v>
      </c>
      <c r="F64">
        <f>D64-E64</f>
        <v>0</v>
      </c>
      <c r="G64">
        <v>0</v>
      </c>
      <c r="H64" t="str">
        <f>IF(ABS(F64)&lt;=G64+0.000000001,"PASS","FAIL")</f>
        <v>PASS</v>
      </c>
    </row>
    <row r="65" spans="1:8" x14ac:dyDescent="0.25">
      <c r="A65" s="1" t="s">
        <v>337</v>
      </c>
      <c r="B65" s="1" t="s">
        <v>335</v>
      </c>
      <c r="C65" s="1" t="s">
        <v>338</v>
      </c>
      <c r="D65">
        <f>INDEX(TieOut!$F:$F,MATCH("S2_GM",TieOut!$A:$A,0))</f>
        <v>0.6</v>
      </c>
      <c r="E65">
        <f>INDEX(TieOut!$F:$F,MATCH("S2_GP",TieOut!$A:$A,0))/INDEX(TieOut!$F:$F,MATCH("S2_Rev",TieOut!$A:$A,0))</f>
        <v>0.6</v>
      </c>
      <c r="F65">
        <f>D65-E65</f>
        <v>0</v>
      </c>
      <c r="G65">
        <v>5.0000000000000001E-4</v>
      </c>
      <c r="H65" t="str">
        <f>IF(ABS(F65)&lt;=G65+0.000000001,"PASS","FAIL")</f>
        <v>PASS</v>
      </c>
    </row>
    <row r="66" spans="1:8" x14ac:dyDescent="0.25">
      <c r="A66" s="1" t="s">
        <v>339</v>
      </c>
      <c r="B66" s="1" t="s">
        <v>335</v>
      </c>
      <c r="C66" s="1" t="s">
        <v>340</v>
      </c>
      <c r="D66">
        <f>INDEX(TieOut!$F:$F,MATCH("S3_EBITDA",TieOut!$A:$A,0))</f>
        <v>600000</v>
      </c>
      <c r="E66">
        <f>INDEX(TieOut!$F:$F,MATCH("S2_GP",TieOut!$A:$A,0))-INDEX(TieOut!$F:$F,MATCH("S3_Opex",TieOut!$A:$A,0))</f>
        <v>600000</v>
      </c>
      <c r="F66">
        <f>D66-E66</f>
        <v>0</v>
      </c>
      <c r="G66">
        <v>0</v>
      </c>
      <c r="H66" t="str">
        <f>IF(ABS(F66)&lt;=G66+0.000000001,"PASS","FAIL")</f>
        <v>PASS</v>
      </c>
    </row>
    <row r="67" spans="1:8" x14ac:dyDescent="0.25">
      <c r="A67" s="1" t="s">
        <v>341</v>
      </c>
      <c r="B67" s="1" t="s">
        <v>335</v>
      </c>
      <c r="C67" s="1" t="s">
        <v>342</v>
      </c>
      <c r="D67">
        <f>INDEX(TieOut!$F:$F,MATCH("S3_EBITDAm",TieOut!$A:$A,0))</f>
        <v>0.182</v>
      </c>
      <c r="E67">
        <f>INDEX(TieOut!$F:$F,MATCH("S3_EBITDA",TieOut!$A:$A,0))/INDEX(TieOut!$F:$F,MATCH("S2_Rev",TieOut!$A:$A,0))</f>
        <v>0.18181818181818182</v>
      </c>
      <c r="F67">
        <f>D67-E67</f>
        <v>1.8181818181817189E-4</v>
      </c>
      <c r="G67">
        <v>5.0000000000000001E-4</v>
      </c>
      <c r="H67" t="str">
        <f>IF(ABS(F67)&lt;=G67+0.000000001,"PASS","FAIL")</f>
        <v>PASS</v>
      </c>
    </row>
    <row r="68" spans="1:8" x14ac:dyDescent="0.25">
      <c r="A68" s="1" t="s">
        <v>343</v>
      </c>
      <c r="B68" s="1" t="s">
        <v>335</v>
      </c>
      <c r="C68" s="1" t="s">
        <v>344</v>
      </c>
      <c r="D68">
        <f>INDEX(TieOut!$F:$F,MATCH("S4_Close",TieOut!$A:$A,0))</f>
        <v>2180000</v>
      </c>
      <c r="E68">
        <f>INDEX(TieOut!$F:$F,MATCH("S4_Open",TieOut!$A:$A,0))+INDEX(TieOut!$F:$F,MATCH("S4_Rec",TieOut!$A:$A,0))-INDEX(TieOut!$F:$F,MATCH("S4_Pay",TieOut!$A:$A,0))</f>
        <v>2180000</v>
      </c>
      <c r="F68">
        <f>D68-E68</f>
        <v>0</v>
      </c>
      <c r="G68">
        <v>0</v>
      </c>
      <c r="H68" t="str">
        <f>IF(ABS(F68)&lt;=G68+0.000000001,"PASS","FAIL")</f>
        <v>PASS</v>
      </c>
    </row>
    <row r="69" spans="1:8" x14ac:dyDescent="0.25">
      <c r="A69" s="1" t="s">
        <v>345</v>
      </c>
      <c r="B69" s="1" t="s">
        <v>335</v>
      </c>
      <c r="C69" s="1" t="s">
        <v>346</v>
      </c>
      <c r="D69">
        <f>INDEX(TieOut!$F:$F,MATCH("S6_Qtr",TieOut!$A:$A,0))</f>
        <v>3300000</v>
      </c>
      <c r="E69">
        <f>INDEX(TieOut!$F:$F,MATCH("S6_M1",TieOut!$A:$A,0))+INDEX(TieOut!$F:$F,MATCH("S6_M2",TieOut!$A:$A,0))+INDEX(TieOut!$F:$F,MATCH("S6_M3",TieOut!$A:$A,0))</f>
        <v>3300000</v>
      </c>
      <c r="F69">
        <f>D69-E69</f>
        <v>0</v>
      </c>
      <c r="G69">
        <v>0</v>
      </c>
      <c r="H69" t="str">
        <f>IF(ABS(F69)&lt;=G69+0.000000001,"PASS","FAIL")</f>
        <v>PASS</v>
      </c>
    </row>
    <row r="70" spans="1:8" x14ac:dyDescent="0.25">
      <c r="A70" s="1" t="s">
        <v>347</v>
      </c>
      <c r="B70" s="1" t="s">
        <v>348</v>
      </c>
      <c r="C70" s="1" t="s">
        <v>349</v>
      </c>
      <c r="D70">
        <f>INDEX(TieOut!$F:$F,MATCH("S1_Rev",TieOut!$A:$A,0))</f>
        <v>3300000</v>
      </c>
      <c r="E70">
        <f>INDEX(TieOut!$F:$F,MATCH("S2_Rev",TieOut!$A:$A,0))</f>
        <v>3300000</v>
      </c>
      <c r="F70">
        <f>D70-E70</f>
        <v>0</v>
      </c>
      <c r="G70">
        <v>0</v>
      </c>
      <c r="H70" t="str">
        <f>IF(ABS(F70)&lt;=G70+0.000000001,"PASS","FAIL")</f>
        <v>PASS</v>
      </c>
    </row>
    <row r="71" spans="1:8" x14ac:dyDescent="0.25">
      <c r="A71" s="1" t="s">
        <v>350</v>
      </c>
      <c r="B71" s="1" t="s">
        <v>348</v>
      </c>
      <c r="C71" s="1" t="s">
        <v>351</v>
      </c>
      <c r="D71">
        <f>INDEX(TieOut!$F:$F,MATCH("S1_Rev",TieOut!$A:$A,0))</f>
        <v>3300000</v>
      </c>
      <c r="E71">
        <f>INDEX(TieOut!$F:$F,MATCH("S6_Qtr",TieOut!$A:$A,0))</f>
        <v>3300000</v>
      </c>
      <c r="F71">
        <f>D71-E71</f>
        <v>0</v>
      </c>
      <c r="G71">
        <v>0</v>
      </c>
      <c r="H71" t="str">
        <f>IF(ABS(F71)&lt;=G71+0.000000001,"PASS","FAIL")</f>
        <v>PASS</v>
      </c>
    </row>
    <row r="72" spans="1:8" x14ac:dyDescent="0.25">
      <c r="A72" s="1" t="s">
        <v>352</v>
      </c>
      <c r="B72" s="1" t="s">
        <v>348</v>
      </c>
      <c r="C72" s="1" t="s">
        <v>353</v>
      </c>
      <c r="D72">
        <f>INDEX(TieOut!$F:$F,MATCH("S1_EBITDA",TieOut!$A:$A,0))</f>
        <v>600000</v>
      </c>
      <c r="E72">
        <f>INDEX(TieOut!$F:$F,MATCH("S3_EBITDA",TieOut!$A:$A,0))</f>
        <v>600000</v>
      </c>
      <c r="F72">
        <f>D72-E72</f>
        <v>0</v>
      </c>
      <c r="G72">
        <v>0</v>
      </c>
      <c r="H72" t="str">
        <f>IF(ABS(F72)&lt;=G72+0.000000001,"PASS","FAIL")</f>
        <v>PASS</v>
      </c>
    </row>
    <row r="73" spans="1:8" x14ac:dyDescent="0.25">
      <c r="A73" s="1" t="s">
        <v>354</v>
      </c>
      <c r="B73" s="1" t="s">
        <v>348</v>
      </c>
      <c r="C73" s="1" t="s">
        <v>355</v>
      </c>
      <c r="D73">
        <f>INDEX(TieOut!$F:$F,MATCH("S1_Cash",TieOut!$A:$A,0))</f>
        <v>2180000</v>
      </c>
      <c r="E73">
        <f>INDEX(TieOut!$F:$F,MATCH("S4_Close",TieOut!$A:$A,0))</f>
        <v>2180000</v>
      </c>
      <c r="F73">
        <f>D73-E73</f>
        <v>0</v>
      </c>
      <c r="G73">
        <v>0</v>
      </c>
      <c r="H73" t="str">
        <f>IF(ABS(F73)&lt;=G73+0.000000001,"PASS","FAIL")</f>
        <v>PASS</v>
      </c>
    </row>
    <row r="74" spans="1:8" x14ac:dyDescent="0.25">
      <c r="A74" s="1" t="s">
        <v>356</v>
      </c>
      <c r="B74" s="1" t="s">
        <v>348</v>
      </c>
      <c r="C74" s="1" t="s">
        <v>357</v>
      </c>
      <c r="D74">
        <f>INDEX(TieOut!$F:$F,MATCH("S5_SepRev",TieOut!$A:$A,0))</f>
        <v>1150000</v>
      </c>
      <c r="E74">
        <f>INDEX(TieOut!$F:$F,MATCH("S6_M3",TieOut!$A:$A,0))</f>
        <v>1150000</v>
      </c>
      <c r="F74">
        <f>D74-E74</f>
        <v>0</v>
      </c>
      <c r="G74">
        <v>0</v>
      </c>
      <c r="H74" t="str">
        <f>IF(ABS(F74)&lt;=G74+0.000000001,"PASS","FAIL")</f>
        <v>PASS</v>
      </c>
    </row>
    <row r="75" spans="1:8" x14ac:dyDescent="0.25">
      <c r="A75" s="1" t="s">
        <v>358</v>
      </c>
      <c r="B75" s="1" t="s">
        <v>348</v>
      </c>
      <c r="C75" s="1" t="s">
        <v>359</v>
      </c>
      <c r="D75">
        <f>INDEX(TieOut!$F:$F,MATCH("S5_Cust",TieOut!$A:$A,0))</f>
        <v>230</v>
      </c>
      <c r="E75" s="2">
        <f>Model_Snapshot!H11</f>
        <v>230</v>
      </c>
      <c r="F75" s="2">
        <f>D75-E75</f>
        <v>0</v>
      </c>
      <c r="G75">
        <v>0</v>
      </c>
      <c r="H75" t="str">
        <f>IF(ABS(F75)&lt;=G75+0.000000001,"PASS","FAIL")</f>
        <v>PASS</v>
      </c>
    </row>
    <row r="76" spans="1:8" x14ac:dyDescent="0.25">
      <c r="A76" s="1" t="s">
        <v>360</v>
      </c>
      <c r="B76" s="1" t="s">
        <v>348</v>
      </c>
      <c r="C76" s="1" t="s">
        <v>361</v>
      </c>
      <c r="D76">
        <f>INDEX(TieOut!$F:$F,MATCH("S4_Open",TieOut!$A:$A,0))</f>
        <v>1550000</v>
      </c>
      <c r="E76">
        <f>INDEX(TieOut!$Q:$Q,MATCH("S4_Close",TieOut!$A:$A,0))</f>
        <v>1550000</v>
      </c>
      <c r="F76">
        <f>D76-E76</f>
        <v>0</v>
      </c>
      <c r="G76">
        <v>0</v>
      </c>
      <c r="H76" t="str">
        <f>IF(ABS(F76)&lt;=G76+0.000000001,"PASS","FAIL")</f>
        <v>PASS</v>
      </c>
    </row>
    <row r="77" spans="1:8" x14ac:dyDescent="0.25">
      <c r="A77" s="1" t="s">
        <v>362</v>
      </c>
      <c r="B77" s="1" t="s">
        <v>363</v>
      </c>
      <c r="C77" s="1" t="s">
        <v>364</v>
      </c>
      <c r="D77">
        <f>INDEX(TieOut!$Q:$Q,MATCH("S2_GP",TieOut!$A:$A,0))</f>
        <v>1710000</v>
      </c>
      <c r="E77">
        <f>INDEX(TieOut!$Q:$Q,MATCH("S2_Rev",TieOut!$A:$A,0))-INDEX(TieOut!$Q:$Q,MATCH("S2_COS",TieOut!$A:$A,0))</f>
        <v>1710000</v>
      </c>
      <c r="F77">
        <f>D77-E77</f>
        <v>0</v>
      </c>
      <c r="G77">
        <v>0</v>
      </c>
      <c r="H77" t="str">
        <f>IF(ABS(F77)&lt;=G77+0.000000001,"PASS","FAIL")</f>
        <v>PASS</v>
      </c>
    </row>
    <row r="78" spans="1:8" x14ac:dyDescent="0.25">
      <c r="A78" s="1" t="s">
        <v>365</v>
      </c>
      <c r="B78" s="1" t="s">
        <v>363</v>
      </c>
      <c r="C78" s="1" t="s">
        <v>366</v>
      </c>
      <c r="D78">
        <f>INDEX(TieOut!$Q:$Q,MATCH("S3_EBITDA",TieOut!$A:$A,0))</f>
        <v>420000</v>
      </c>
      <c r="E78">
        <f>INDEX(TieOut!$Q:$Q,MATCH("S2_GP",TieOut!$A:$A,0))-INDEX(TieOut!$Q:$Q,MATCH("S3_Opex",TieOut!$A:$A,0))</f>
        <v>420000</v>
      </c>
      <c r="F78">
        <f>D78-E78</f>
        <v>0</v>
      </c>
      <c r="G78">
        <v>0</v>
      </c>
      <c r="H78" t="str">
        <f>IF(ABS(F78)&lt;=G78+0.000000001,"PASS","FAIL")</f>
        <v>PASS</v>
      </c>
    </row>
    <row r="79" spans="1:8" x14ac:dyDescent="0.25">
      <c r="A79" s="1" t="s">
        <v>367</v>
      </c>
      <c r="B79" s="1" t="s">
        <v>363</v>
      </c>
      <c r="C79" s="1" t="s">
        <v>368</v>
      </c>
      <c r="D79">
        <f>INDEX(TieOut!$Q:$Q,MATCH("S4_Close",TieOut!$A:$A,0))</f>
        <v>1550000</v>
      </c>
      <c r="E79">
        <f>INDEX(TieOut!$Q:$Q,MATCH("S4_Open",TieOut!$A:$A,0))+INDEX(TieOut!$Q:$Q,MATCH("S4_Rec",TieOut!$A:$A,0))-INDEX(TieOut!$Q:$Q,MATCH("S4_Pay",TieOut!$A:$A,0))</f>
        <v>1550000</v>
      </c>
      <c r="F79">
        <f>D79-E79</f>
        <v>0</v>
      </c>
      <c r="G79">
        <v>0</v>
      </c>
      <c r="H79" t="str">
        <f>IF(ABS(F79)&lt;=G79+0.000000001,"PASS","FAIL")</f>
        <v>PASS</v>
      </c>
    </row>
    <row r="80" spans="1:8" x14ac:dyDescent="0.25">
      <c r="A80" s="1" t="s">
        <v>369</v>
      </c>
      <c r="B80" s="1" t="s">
        <v>363</v>
      </c>
      <c r="C80" s="1" t="s">
        <v>370</v>
      </c>
      <c r="D80">
        <f>INDEX(TieOut!$Q:$Q,MATCH("S6_Qtr",TieOut!$A:$A,0))</f>
        <v>2850000</v>
      </c>
      <c r="E80">
        <f>INDEX(TieOut!$Q:$Q,MATCH("S6_M1",TieOut!$A:$A,0))+INDEX(TieOut!$Q:$Q,MATCH("S6_M2",TieOut!$A:$A,0))+INDEX(TieOut!$Q:$Q,MATCH("S6_M3",TieOut!$A:$A,0))</f>
        <v>2850000</v>
      </c>
      <c r="F80">
        <f>D80-E80</f>
        <v>0</v>
      </c>
      <c r="G80">
        <v>0</v>
      </c>
      <c r="H80" t="str">
        <f>IF(ABS(F80)&lt;=G80+0.000000001,"PASS","FAIL")</f>
        <v>PASS</v>
      </c>
    </row>
    <row r="81" spans="1:8" x14ac:dyDescent="0.25">
      <c r="A81" s="1" t="s">
        <v>371</v>
      </c>
      <c r="B81" s="1" t="s">
        <v>363</v>
      </c>
      <c r="C81" s="1" t="s">
        <v>372</v>
      </c>
      <c r="D81">
        <f>INDEX(TieOut!$Q:$Q,MATCH("S1_Rev",TieOut!$A:$A,0))</f>
        <v>2850000</v>
      </c>
      <c r="E81">
        <f>INDEX(TieOut!$Q:$Q,MATCH("S6_Qtr",TieOut!$A:$A,0))</f>
        <v>2850000</v>
      </c>
      <c r="F81">
        <f>D81-E81</f>
        <v>0</v>
      </c>
      <c r="G81">
        <v>0</v>
      </c>
      <c r="H81" t="str">
        <f>IF(ABS(F81)&lt;=G81+0.000000001,"PASS","FAIL")</f>
        <v>PASS</v>
      </c>
    </row>
    <row r="82" spans="1:8" x14ac:dyDescent="0.25">
      <c r="A82" s="1" t="s">
        <v>373</v>
      </c>
      <c r="B82" s="1" t="s">
        <v>363</v>
      </c>
      <c r="C82" s="1" t="s">
        <v>374</v>
      </c>
      <c r="D82">
        <f>INDEX(TieOut!$Q:$Q,MATCH("S1_Cash",TieOut!$A:$A,0))</f>
        <v>1550000</v>
      </c>
      <c r="E82">
        <f>INDEX(TieOut!$Q:$Q,MATCH("S4_Close",TieOut!$A:$A,0))</f>
        <v>1550000</v>
      </c>
      <c r="F82">
        <f>D82-E82</f>
        <v>0</v>
      </c>
      <c r="G82">
        <v>0</v>
      </c>
      <c r="H82" t="str">
        <f>IF(ABS(F82)&lt;=G82+0.000000001,"PASS","FAIL")</f>
        <v>PASS</v>
      </c>
    </row>
    <row r="83" spans="1:8" x14ac:dyDescent="0.25">
      <c r="A83" s="1" t="s">
        <v>375</v>
      </c>
      <c r="B83" s="1" t="s">
        <v>376</v>
      </c>
      <c r="C83" s="1" t="s">
        <v>377</v>
      </c>
      <c r="D83" s="2">
        <f>TieOut!U2</f>
        <v>450000</v>
      </c>
      <c r="E83" s="2">
        <f>TieOut!W2</f>
        <v>450000</v>
      </c>
      <c r="F83" s="2">
        <f>D83-E83</f>
        <v>0</v>
      </c>
      <c r="G83">
        <v>0</v>
      </c>
      <c r="H83" t="str">
        <f>IF(ABS(F83)&lt;=G83+0.000000001,"PASS","FAIL")</f>
        <v>PASS</v>
      </c>
    </row>
    <row r="84" spans="1:8" x14ac:dyDescent="0.25">
      <c r="A84" s="1" t="s">
        <v>378</v>
      </c>
      <c r="B84" s="1" t="s">
        <v>376</v>
      </c>
      <c r="C84" s="1" t="s">
        <v>379</v>
      </c>
      <c r="D84" s="2">
        <f>TieOut!U3</f>
        <v>180000</v>
      </c>
      <c r="E84" s="2">
        <f>TieOut!W3</f>
        <v>180000</v>
      </c>
      <c r="F84" s="2">
        <f>D84-E84</f>
        <v>0</v>
      </c>
      <c r="G84">
        <v>0</v>
      </c>
      <c r="H84" t="str">
        <f>IF(ABS(F84)&lt;=G84+0.000000001,"PASS","FAIL")</f>
        <v>PASS</v>
      </c>
    </row>
    <row r="85" spans="1:8" x14ac:dyDescent="0.25">
      <c r="A85" s="1" t="s">
        <v>380</v>
      </c>
      <c r="B85" s="1" t="s">
        <v>376</v>
      </c>
      <c r="C85" s="1" t="s">
        <v>381</v>
      </c>
      <c r="D85" s="2">
        <f>TieOut!U4</f>
        <v>630000</v>
      </c>
      <c r="E85" s="2">
        <f>TieOut!W4</f>
        <v>630000</v>
      </c>
      <c r="F85" s="2">
        <f>D85-E85</f>
        <v>0</v>
      </c>
      <c r="G85">
        <v>0</v>
      </c>
      <c r="H85" t="str">
        <f>IF(ABS(F85)&lt;=G85+0.000000001,"PASS","FAIL")</f>
        <v>PASS</v>
      </c>
    </row>
    <row r="86" spans="1:8" x14ac:dyDescent="0.25">
      <c r="A86" s="1" t="s">
        <v>382</v>
      </c>
      <c r="B86" s="1" t="s">
        <v>376</v>
      </c>
      <c r="C86" s="1" t="s">
        <v>383</v>
      </c>
      <c r="D86" s="2">
        <f>TieOut!U5</f>
        <v>450000</v>
      </c>
      <c r="E86" s="2">
        <f>TieOut!W5</f>
        <v>450000</v>
      </c>
      <c r="F86" s="2">
        <f>D86-E86</f>
        <v>0</v>
      </c>
      <c r="G86">
        <v>0</v>
      </c>
      <c r="H86" t="str">
        <f>IF(ABS(F86)&lt;=G86+0.000000001,"PASS","FAIL")</f>
        <v>PASS</v>
      </c>
    </row>
    <row r="87" spans="1:8" x14ac:dyDescent="0.25">
      <c r="A87" s="1" t="s">
        <v>384</v>
      </c>
      <c r="B87" s="1" t="s">
        <v>376</v>
      </c>
      <c r="C87" s="1" t="s">
        <v>385</v>
      </c>
      <c r="D87" s="2">
        <f>TieOut!U6</f>
        <v>180000</v>
      </c>
      <c r="E87" s="2">
        <f>TieOut!W6</f>
        <v>180000</v>
      </c>
      <c r="F87" s="2">
        <f>D87-E87</f>
        <v>0</v>
      </c>
      <c r="G87">
        <v>0</v>
      </c>
      <c r="H87" t="str">
        <f>IF(ABS(F87)&lt;=G87+0.000000001,"PASS","FAIL")</f>
        <v>PASS</v>
      </c>
    </row>
    <row r="88" spans="1:8" x14ac:dyDescent="0.25">
      <c r="A88" s="1" t="s">
        <v>386</v>
      </c>
      <c r="B88" s="1" t="s">
        <v>376</v>
      </c>
      <c r="C88" s="1" t="s">
        <v>387</v>
      </c>
      <c r="D88" s="2">
        <f>TieOut!U7</f>
        <v>270000</v>
      </c>
      <c r="E88" s="2">
        <f>TieOut!W7</f>
        <v>270000</v>
      </c>
      <c r="F88" s="2">
        <f>D88-E88</f>
        <v>0</v>
      </c>
      <c r="G88">
        <v>0</v>
      </c>
      <c r="H88" t="str">
        <f>IF(ABS(F88)&lt;=G88+0.000000001,"PASS","FAIL")</f>
        <v>PASS</v>
      </c>
    </row>
    <row r="89" spans="1:8" x14ac:dyDescent="0.25">
      <c r="A89" s="1" t="s">
        <v>388</v>
      </c>
      <c r="B89" s="1" t="s">
        <v>376</v>
      </c>
      <c r="C89" s="1" t="s">
        <v>389</v>
      </c>
      <c r="D89" s="7">
        <f>TieOut!U8</f>
        <v>0</v>
      </c>
      <c r="E89" s="7">
        <f>TieOut!W8</f>
        <v>0</v>
      </c>
      <c r="F89" s="7">
        <f>D89-E89</f>
        <v>0</v>
      </c>
      <c r="G89">
        <v>1E-3</v>
      </c>
      <c r="H89" t="str">
        <f>IF(ABS(F89)&lt;=G89+0.000000001,"PASS","FAIL")</f>
        <v>PASS</v>
      </c>
    </row>
    <row r="90" spans="1:8" x14ac:dyDescent="0.25">
      <c r="A90" s="1" t="s">
        <v>390</v>
      </c>
      <c r="B90" s="1" t="s">
        <v>376</v>
      </c>
      <c r="C90" s="1" t="s">
        <v>391</v>
      </c>
      <c r="D90" s="2">
        <f>TieOut!U9</f>
        <v>90000</v>
      </c>
      <c r="E90" s="2">
        <f>TieOut!W9</f>
        <v>90000</v>
      </c>
      <c r="F90" s="2">
        <f>D90-E90</f>
        <v>0</v>
      </c>
      <c r="G90">
        <v>0</v>
      </c>
      <c r="H90" t="str">
        <f>IF(ABS(F90)&lt;=G90+0.000000001,"PASS","FAIL")</f>
        <v>PASS</v>
      </c>
    </row>
    <row r="91" spans="1:8" x14ac:dyDescent="0.25">
      <c r="A91" s="1" t="s">
        <v>392</v>
      </c>
      <c r="B91" s="1" t="s">
        <v>376</v>
      </c>
      <c r="C91" s="1" t="s">
        <v>393</v>
      </c>
      <c r="D91" s="2">
        <f>TieOut!U10</f>
        <v>180000</v>
      </c>
      <c r="E91" s="2">
        <f>TieOut!W10</f>
        <v>180000</v>
      </c>
      <c r="F91" s="2">
        <f>D91-E91</f>
        <v>0</v>
      </c>
      <c r="G91">
        <v>0</v>
      </c>
      <c r="H91" t="str">
        <f>IF(ABS(F91)&lt;=G91+0.000000001,"PASS","FAIL")</f>
        <v>PASS</v>
      </c>
    </row>
    <row r="92" spans="1:8" x14ac:dyDescent="0.25">
      <c r="A92" s="1" t="s">
        <v>394</v>
      </c>
      <c r="B92" s="1" t="s">
        <v>376</v>
      </c>
      <c r="C92" s="1" t="s">
        <v>395</v>
      </c>
      <c r="D92" s="7">
        <f>TieOut!U11</f>
        <v>3.4449760765550258E-2</v>
      </c>
      <c r="E92" s="7">
        <f>TieOut!W11</f>
        <v>3.5000000000000003E-2</v>
      </c>
      <c r="F92" s="7">
        <f>D92-E92</f>
        <v>-5.5023923444974532E-4</v>
      </c>
      <c r="G92">
        <v>1E-3</v>
      </c>
      <c r="H92" t="str">
        <f>IF(ABS(F92)&lt;=G92+0.000000001,"PASS","FAIL")</f>
        <v>PASS</v>
      </c>
    </row>
    <row r="93" spans="1:8" x14ac:dyDescent="0.25">
      <c r="A93" s="1" t="s">
        <v>396</v>
      </c>
      <c r="B93" s="1" t="s">
        <v>376</v>
      </c>
      <c r="C93" s="1" t="s">
        <v>397</v>
      </c>
      <c r="D93" s="2">
        <f>TieOut!U12</f>
        <v>350000</v>
      </c>
      <c r="E93" s="2">
        <f>TieOut!W12</f>
        <v>350000</v>
      </c>
      <c r="F93" s="2">
        <f>D93-E93</f>
        <v>0</v>
      </c>
      <c r="G93">
        <v>0</v>
      </c>
      <c r="H93" t="str">
        <f>IF(ABS(F93)&lt;=G93+0.000000001,"PASS","FAIL")</f>
        <v>PASS</v>
      </c>
    </row>
    <row r="94" spans="1:8" x14ac:dyDescent="0.25">
      <c r="A94" s="1" t="s">
        <v>398</v>
      </c>
      <c r="B94" s="1" t="s">
        <v>376</v>
      </c>
      <c r="C94" s="1" t="s">
        <v>399</v>
      </c>
      <c r="D94" s="2">
        <f>TieOut!U13</f>
        <v>460000</v>
      </c>
      <c r="E94" s="2">
        <f>TieOut!W13</f>
        <v>460000</v>
      </c>
      <c r="F94" s="2">
        <f>D94-E94</f>
        <v>0</v>
      </c>
      <c r="G94">
        <v>0</v>
      </c>
      <c r="H94" t="str">
        <f>IF(ABS(F94)&lt;=G94+0.000000001,"PASS","FAIL")</f>
        <v>PASS</v>
      </c>
    </row>
    <row r="95" spans="1:8" x14ac:dyDescent="0.25">
      <c r="A95" s="1" t="s">
        <v>400</v>
      </c>
      <c r="B95" s="1" t="s">
        <v>376</v>
      </c>
      <c r="C95" s="1" t="s">
        <v>401</v>
      </c>
      <c r="D95" s="2">
        <f>TieOut!U14</f>
        <v>180000</v>
      </c>
      <c r="E95" s="2">
        <f>TieOut!W14</f>
        <v>180000</v>
      </c>
      <c r="F95" s="2">
        <f>D95-E95</f>
        <v>0</v>
      </c>
      <c r="G95">
        <v>0</v>
      </c>
      <c r="H95" t="str">
        <f>IF(ABS(F95)&lt;=G95+0.000000001,"PASS","FAIL")</f>
        <v>PASS</v>
      </c>
    </row>
    <row r="96" spans="1:8" x14ac:dyDescent="0.25">
      <c r="A96" s="1" t="s">
        <v>402</v>
      </c>
      <c r="B96" s="1" t="s">
        <v>376</v>
      </c>
      <c r="C96" s="1" t="s">
        <v>403</v>
      </c>
      <c r="D96" s="2">
        <f>TieOut!U15</f>
        <v>630000</v>
      </c>
      <c r="E96" s="2">
        <f>TieOut!W15</f>
        <v>630000</v>
      </c>
      <c r="F96" s="2">
        <f>D96-E96</f>
        <v>0</v>
      </c>
      <c r="G96">
        <v>0</v>
      </c>
      <c r="H96" t="str">
        <f>IF(ABS(F96)&lt;=G96+0.000000001,"PASS","FAIL")</f>
        <v>PASS</v>
      </c>
    </row>
    <row r="97" spans="1:8" x14ac:dyDescent="0.25">
      <c r="A97" s="1" t="s">
        <v>404</v>
      </c>
      <c r="B97" s="1" t="s">
        <v>376</v>
      </c>
      <c r="C97" s="1" t="s">
        <v>405</v>
      </c>
      <c r="D97" s="2">
        <f>TieOut!U16</f>
        <v>30</v>
      </c>
      <c r="E97" s="2">
        <f>TieOut!W16</f>
        <v>30</v>
      </c>
      <c r="F97" s="2">
        <f>D97-E97</f>
        <v>0</v>
      </c>
      <c r="G97">
        <v>0</v>
      </c>
      <c r="H97" t="str">
        <f>IF(ABS(F97)&lt;=G97+0.000000001,"PASS","FAIL")</f>
        <v>PASS</v>
      </c>
    </row>
    <row r="98" spans="1:8" x14ac:dyDescent="0.25">
      <c r="A98" s="1" t="s">
        <v>406</v>
      </c>
      <c r="B98" s="1" t="s">
        <v>376</v>
      </c>
      <c r="C98" s="1" t="s">
        <v>407</v>
      </c>
      <c r="D98" s="2">
        <f>TieOut!U17</f>
        <v>150000</v>
      </c>
      <c r="E98" s="2">
        <f>TieOut!W17</f>
        <v>150000</v>
      </c>
      <c r="F98" s="2">
        <f>D98-E98</f>
        <v>0</v>
      </c>
      <c r="G98">
        <v>0</v>
      </c>
      <c r="H98" t="str">
        <f>IF(ABS(F98)&lt;=G98+0.000000001,"PASS","FAIL")</f>
        <v>PASS</v>
      </c>
    </row>
    <row r="99" spans="1:8" x14ac:dyDescent="0.25">
      <c r="A99" s="1" t="s">
        <v>408</v>
      </c>
      <c r="B99" s="1" t="s">
        <v>376</v>
      </c>
      <c r="C99" s="1" t="s">
        <v>409</v>
      </c>
      <c r="D99" s="2">
        <f>TieOut!U18</f>
        <v>150000</v>
      </c>
      <c r="E99" s="2">
        <f>TieOut!W18</f>
        <v>150000</v>
      </c>
      <c r="F99" s="2">
        <f>D99-E99</f>
        <v>0</v>
      </c>
      <c r="G99">
        <v>0</v>
      </c>
      <c r="H99" t="str">
        <f>IF(ABS(F99)&lt;=G99+0.000000001,"PASS","FAIL")</f>
        <v>PASS</v>
      </c>
    </row>
    <row r="100" spans="1:8" x14ac:dyDescent="0.25">
      <c r="A100" s="1" t="s">
        <v>410</v>
      </c>
      <c r="B100" s="1" t="s">
        <v>376</v>
      </c>
      <c r="C100" s="1" t="s">
        <v>411</v>
      </c>
      <c r="D100" s="2">
        <f>TieOut!U19</f>
        <v>150000</v>
      </c>
      <c r="E100" s="2">
        <f>TieOut!W19</f>
        <v>150000</v>
      </c>
      <c r="F100" s="2">
        <f>D100-E100</f>
        <v>0</v>
      </c>
      <c r="G100">
        <v>0</v>
      </c>
      <c r="H100" t="str">
        <f>IF(ABS(F100)&lt;=G100+0.000000001,"PASS","FAIL")</f>
        <v>PASS</v>
      </c>
    </row>
    <row r="101" spans="1:8" x14ac:dyDescent="0.25">
      <c r="A101" s="1" t="s">
        <v>412</v>
      </c>
      <c r="B101" s="1" t="s">
        <v>376</v>
      </c>
      <c r="C101" s="1" t="s">
        <v>413</v>
      </c>
      <c r="D101" s="2">
        <f>TieOut!U20</f>
        <v>150000</v>
      </c>
      <c r="E101" s="2">
        <f>TieOut!W20</f>
        <v>150000</v>
      </c>
      <c r="F101" s="2">
        <f>D101-E101</f>
        <v>0</v>
      </c>
      <c r="G101">
        <v>0</v>
      </c>
      <c r="H101" t="str">
        <f>IF(ABS(F101)&lt;=G101+0.000000001,"PASS","FAIL")</f>
        <v>PASS</v>
      </c>
    </row>
    <row r="102" spans="1:8" x14ac:dyDescent="0.25">
      <c r="A102" s="1" t="s">
        <v>414</v>
      </c>
      <c r="B102" s="1" t="s">
        <v>376</v>
      </c>
      <c r="C102" s="1" t="s">
        <v>415</v>
      </c>
      <c r="D102" s="2">
        <f>TieOut!U21</f>
        <v>450000</v>
      </c>
      <c r="E102" s="2">
        <f>TieOut!W21</f>
        <v>450000</v>
      </c>
      <c r="F102" s="2">
        <f>D102-E102</f>
        <v>0</v>
      </c>
      <c r="G102">
        <v>0</v>
      </c>
      <c r="H102" t="str">
        <f>IF(ABS(F102)&lt;=G102+0.000000001,"PASS","FAIL")</f>
        <v>PASS</v>
      </c>
    </row>
    <row r="103" spans="1:8" x14ac:dyDescent="0.25">
      <c r="A103" s="1" t="s">
        <v>416</v>
      </c>
      <c r="B103" s="1" t="s">
        <v>417</v>
      </c>
      <c r="C103" s="1" t="s">
        <v>418</v>
      </c>
      <c r="D103">
        <v>96</v>
      </c>
      <c r="E103">
        <v>96</v>
      </c>
      <c r="F103">
        <f>D103-E103</f>
        <v>0</v>
      </c>
      <c r="G103">
        <v>0</v>
      </c>
      <c r="H103" t="str">
        <f>IF(ABS(F103)&lt;=G103,"PASS","FAIL")</f>
        <v>PASS</v>
      </c>
    </row>
  </sheetData>
  <conditionalFormatting sqref="H2:H103">
    <cfRule type="cellIs" dxfId="1" priority="1" stopIfTrue="1" operator="equal">
      <formula>"PASS"</formula>
    </cfRule>
    <cfRule type="cellIs" dxfId="0" priority="2" stopIfTrue="1" operator="equal">
      <formula>"FAIL"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A58BC-896A-4868-A3C2-004538E4F73C}">
  <dimension ref="A1:H33"/>
  <sheetViews>
    <sheetView workbookViewId="0"/>
  </sheetViews>
  <sheetFormatPr defaultRowHeight="15" x14ac:dyDescent="0.25"/>
  <cols>
    <col min="1" max="1" width="5.5703125" bestFit="1" customWidth="1"/>
    <col min="2" max="2" width="14.28515625" bestFit="1" customWidth="1"/>
    <col min="3" max="3" width="11.7109375" bestFit="1" customWidth="1"/>
    <col min="4" max="4" width="18.140625" bestFit="1" customWidth="1"/>
    <col min="5" max="5" width="28.42578125" bestFit="1" customWidth="1"/>
    <col min="6" max="6" width="48.7109375" bestFit="1" customWidth="1"/>
    <col min="7" max="7" width="17.85546875" bestFit="1" customWidth="1"/>
    <col min="8" max="8" width="18.7109375" bestFit="1" customWidth="1"/>
  </cols>
  <sheetData>
    <row r="1" spans="1:8" x14ac:dyDescent="0.25">
      <c r="A1" s="6" t="s">
        <v>23</v>
      </c>
      <c r="B1" s="6" t="s">
        <v>24</v>
      </c>
      <c r="C1" s="6" t="s">
        <v>419</v>
      </c>
      <c r="D1" s="6" t="s">
        <v>420</v>
      </c>
      <c r="E1" s="6" t="s">
        <v>421</v>
      </c>
      <c r="F1" s="6" t="s">
        <v>422</v>
      </c>
      <c r="G1" s="6" t="s">
        <v>423</v>
      </c>
      <c r="H1" s="6" t="s">
        <v>424</v>
      </c>
    </row>
    <row r="2" spans="1:8" x14ac:dyDescent="0.25">
      <c r="A2">
        <v>1</v>
      </c>
      <c r="B2" s="1" t="s">
        <v>47</v>
      </c>
      <c r="C2" s="1" t="s">
        <v>46</v>
      </c>
      <c r="D2" s="1" t="s">
        <v>425</v>
      </c>
      <c r="E2" s="1" t="s">
        <v>53</v>
      </c>
      <c r="F2" s="1" t="s">
        <v>48</v>
      </c>
      <c r="G2" s="1" t="s">
        <v>426</v>
      </c>
      <c r="H2" s="1" t="s">
        <v>50</v>
      </c>
    </row>
    <row r="3" spans="1:8" x14ac:dyDescent="0.25">
      <c r="A3">
        <v>1</v>
      </c>
      <c r="B3" s="1" t="s">
        <v>56</v>
      </c>
      <c r="C3" s="1" t="s">
        <v>55</v>
      </c>
      <c r="D3" s="1" t="s">
        <v>425</v>
      </c>
      <c r="E3" s="1" t="s">
        <v>60</v>
      </c>
      <c r="F3" s="1" t="s">
        <v>57</v>
      </c>
      <c r="G3" s="1" t="s">
        <v>427</v>
      </c>
      <c r="H3" s="1" t="s">
        <v>58</v>
      </c>
    </row>
    <row r="4" spans="1:8" x14ac:dyDescent="0.25">
      <c r="A4">
        <v>1</v>
      </c>
      <c r="B4" s="1" t="s">
        <v>63</v>
      </c>
      <c r="C4" s="1" t="s">
        <v>62</v>
      </c>
      <c r="D4" s="1" t="s">
        <v>425</v>
      </c>
      <c r="E4" s="1" t="s">
        <v>67</v>
      </c>
      <c r="F4" s="1" t="s">
        <v>64</v>
      </c>
      <c r="G4" s="1" t="s">
        <v>428</v>
      </c>
      <c r="H4" s="1" t="s">
        <v>65</v>
      </c>
    </row>
    <row r="5" spans="1:8" x14ac:dyDescent="0.25">
      <c r="A5">
        <v>2</v>
      </c>
      <c r="B5" s="1" t="s">
        <v>47</v>
      </c>
      <c r="C5" s="1" t="s">
        <v>69</v>
      </c>
      <c r="D5" s="1" t="s">
        <v>425</v>
      </c>
      <c r="E5" s="1" t="s">
        <v>53</v>
      </c>
      <c r="F5" s="1" t="s">
        <v>48</v>
      </c>
      <c r="G5" s="1" t="s">
        <v>426</v>
      </c>
      <c r="H5" s="1" t="s">
        <v>50</v>
      </c>
    </row>
    <row r="6" spans="1:8" x14ac:dyDescent="0.25">
      <c r="A6">
        <v>2</v>
      </c>
      <c r="B6" s="1" t="s">
        <v>56</v>
      </c>
      <c r="C6" s="1" t="s">
        <v>70</v>
      </c>
      <c r="D6" s="1" t="s">
        <v>425</v>
      </c>
      <c r="E6" s="1" t="s">
        <v>74</v>
      </c>
      <c r="F6" s="1" t="s">
        <v>71</v>
      </c>
      <c r="G6" s="1" t="s">
        <v>429</v>
      </c>
      <c r="H6" s="1" t="s">
        <v>72</v>
      </c>
    </row>
    <row r="7" spans="1:8" x14ac:dyDescent="0.25">
      <c r="A7">
        <v>2</v>
      </c>
      <c r="B7" s="1" t="s">
        <v>63</v>
      </c>
      <c r="C7" s="1" t="s">
        <v>76</v>
      </c>
      <c r="D7" s="1" t="s">
        <v>425</v>
      </c>
      <c r="E7" s="1" t="s">
        <v>80</v>
      </c>
      <c r="F7" s="1" t="s">
        <v>77</v>
      </c>
      <c r="G7" s="1" t="s">
        <v>430</v>
      </c>
      <c r="H7" s="1" t="s">
        <v>78</v>
      </c>
    </row>
    <row r="8" spans="1:8" x14ac:dyDescent="0.25">
      <c r="A8">
        <v>2</v>
      </c>
      <c r="B8" s="1" t="s">
        <v>83</v>
      </c>
      <c r="C8" s="1" t="s">
        <v>82</v>
      </c>
      <c r="D8" s="1" t="s">
        <v>425</v>
      </c>
      <c r="E8" s="1" t="s">
        <v>84</v>
      </c>
      <c r="F8" s="1" t="s">
        <v>84</v>
      </c>
      <c r="G8" s="1" t="s">
        <v>431</v>
      </c>
      <c r="H8" s="1" t="s">
        <v>86</v>
      </c>
    </row>
    <row r="9" spans="1:8" x14ac:dyDescent="0.25">
      <c r="A9">
        <v>3</v>
      </c>
      <c r="B9" s="1" t="s">
        <v>47</v>
      </c>
      <c r="C9" s="1" t="s">
        <v>90</v>
      </c>
      <c r="D9" s="1" t="s">
        <v>425</v>
      </c>
      <c r="E9" s="1" t="s">
        <v>94</v>
      </c>
      <c r="F9" s="1" t="s">
        <v>91</v>
      </c>
      <c r="G9" s="1" t="s">
        <v>432</v>
      </c>
      <c r="H9" s="1" t="s">
        <v>92</v>
      </c>
    </row>
    <row r="10" spans="1:8" x14ac:dyDescent="0.25">
      <c r="A10">
        <v>3</v>
      </c>
      <c r="B10" s="1" t="s">
        <v>56</v>
      </c>
      <c r="C10" s="1" t="s">
        <v>96</v>
      </c>
      <c r="D10" s="1" t="s">
        <v>425</v>
      </c>
      <c r="E10" s="1" t="s">
        <v>60</v>
      </c>
      <c r="F10" s="1" t="s">
        <v>57</v>
      </c>
      <c r="G10" s="1" t="s">
        <v>427</v>
      </c>
      <c r="H10" s="1" t="s">
        <v>58</v>
      </c>
    </row>
    <row r="11" spans="1:8" x14ac:dyDescent="0.25">
      <c r="A11">
        <v>3</v>
      </c>
      <c r="B11" s="1" t="s">
        <v>63</v>
      </c>
      <c r="C11" s="1" t="s">
        <v>97</v>
      </c>
      <c r="D11" s="1" t="s">
        <v>425</v>
      </c>
      <c r="E11" s="1" t="s">
        <v>101</v>
      </c>
      <c r="F11" s="1" t="s">
        <v>98</v>
      </c>
      <c r="G11" s="1" t="s">
        <v>433</v>
      </c>
      <c r="H11" s="1" t="s">
        <v>99</v>
      </c>
    </row>
    <row r="12" spans="1:8" x14ac:dyDescent="0.25">
      <c r="A12">
        <v>4</v>
      </c>
      <c r="B12" s="1" t="s">
        <v>47</v>
      </c>
      <c r="C12" s="1" t="s">
        <v>103</v>
      </c>
      <c r="D12" s="1" t="s">
        <v>425</v>
      </c>
      <c r="E12" s="1" t="s">
        <v>107</v>
      </c>
      <c r="F12" s="1" t="s">
        <v>104</v>
      </c>
      <c r="G12" s="1" t="s">
        <v>434</v>
      </c>
      <c r="H12" s="1" t="s">
        <v>105</v>
      </c>
    </row>
    <row r="13" spans="1:8" x14ac:dyDescent="0.25">
      <c r="A13">
        <v>4</v>
      </c>
      <c r="B13" s="1" t="s">
        <v>56</v>
      </c>
      <c r="C13" s="1" t="s">
        <v>109</v>
      </c>
      <c r="D13" s="1" t="s">
        <v>425</v>
      </c>
      <c r="E13" s="1" t="s">
        <v>113</v>
      </c>
      <c r="F13" s="1" t="s">
        <v>110</v>
      </c>
      <c r="G13" s="1" t="s">
        <v>435</v>
      </c>
      <c r="H13" s="1" t="s">
        <v>111</v>
      </c>
    </row>
    <row r="14" spans="1:8" x14ac:dyDescent="0.25">
      <c r="A14">
        <v>4</v>
      </c>
      <c r="B14" s="1" t="s">
        <v>63</v>
      </c>
      <c r="C14" s="1" t="s">
        <v>115</v>
      </c>
      <c r="D14" s="1" t="s">
        <v>425</v>
      </c>
      <c r="E14" s="1" t="s">
        <v>119</v>
      </c>
      <c r="F14" s="1" t="s">
        <v>116</v>
      </c>
      <c r="G14" s="1" t="s">
        <v>436</v>
      </c>
      <c r="H14" s="1" t="s">
        <v>117</v>
      </c>
    </row>
    <row r="15" spans="1:8" x14ac:dyDescent="0.25">
      <c r="A15">
        <v>4</v>
      </c>
      <c r="B15" s="1" t="s">
        <v>83</v>
      </c>
      <c r="C15" s="1" t="s">
        <v>121</v>
      </c>
      <c r="D15" s="1" t="s">
        <v>425</v>
      </c>
      <c r="E15" s="1" t="s">
        <v>67</v>
      </c>
      <c r="F15" s="1" t="s">
        <v>64</v>
      </c>
      <c r="G15" s="1" t="s">
        <v>428</v>
      </c>
      <c r="H15" s="1" t="s">
        <v>65</v>
      </c>
    </row>
    <row r="16" spans="1:8" x14ac:dyDescent="0.25">
      <c r="A16">
        <v>5</v>
      </c>
      <c r="B16" s="1" t="s">
        <v>47</v>
      </c>
      <c r="C16" s="1" t="s">
        <v>122</v>
      </c>
      <c r="D16" s="1" t="s">
        <v>425</v>
      </c>
      <c r="E16" s="1" t="s">
        <v>128</v>
      </c>
      <c r="F16" s="1" t="s">
        <v>123</v>
      </c>
      <c r="G16" s="1" t="s">
        <v>437</v>
      </c>
      <c r="H16" s="1" t="s">
        <v>125</v>
      </c>
    </row>
    <row r="17" spans="1:8" x14ac:dyDescent="0.25">
      <c r="A17">
        <v>5</v>
      </c>
      <c r="B17" s="1" t="s">
        <v>56</v>
      </c>
      <c r="C17" s="1" t="s">
        <v>130</v>
      </c>
      <c r="D17" s="1" t="s">
        <v>425</v>
      </c>
      <c r="E17" s="1" t="s">
        <v>135</v>
      </c>
      <c r="F17" s="1" t="s">
        <v>132</v>
      </c>
      <c r="G17" s="1" t="s">
        <v>438</v>
      </c>
      <c r="H17" s="1" t="s">
        <v>133</v>
      </c>
    </row>
    <row r="18" spans="1:8" x14ac:dyDescent="0.25">
      <c r="A18">
        <v>6</v>
      </c>
      <c r="B18" s="1" t="s">
        <v>47</v>
      </c>
      <c r="C18" s="1" t="s">
        <v>137</v>
      </c>
      <c r="D18" s="1" t="s">
        <v>425</v>
      </c>
      <c r="E18" s="1" t="s">
        <v>141</v>
      </c>
      <c r="F18" s="1" t="s">
        <v>138</v>
      </c>
      <c r="G18" s="1" t="s">
        <v>439</v>
      </c>
      <c r="H18" s="1" t="s">
        <v>139</v>
      </c>
    </row>
    <row r="19" spans="1:8" x14ac:dyDescent="0.25">
      <c r="A19">
        <v>6</v>
      </c>
      <c r="B19" s="1" t="s">
        <v>56</v>
      </c>
      <c r="C19" s="1" t="s">
        <v>143</v>
      </c>
      <c r="D19" s="1" t="s">
        <v>425</v>
      </c>
      <c r="E19" s="1" t="s">
        <v>147</v>
      </c>
      <c r="F19" s="1" t="s">
        <v>144</v>
      </c>
      <c r="G19" s="1" t="s">
        <v>440</v>
      </c>
      <c r="H19" s="1" t="s">
        <v>145</v>
      </c>
    </row>
    <row r="20" spans="1:8" x14ac:dyDescent="0.25">
      <c r="A20">
        <v>6</v>
      </c>
      <c r="B20" s="1" t="s">
        <v>63</v>
      </c>
      <c r="C20" s="1" t="s">
        <v>149</v>
      </c>
      <c r="D20" s="1" t="s">
        <v>425</v>
      </c>
      <c r="E20" s="1" t="s">
        <v>151</v>
      </c>
      <c r="F20" s="1" t="s">
        <v>150</v>
      </c>
      <c r="G20" s="1" t="s">
        <v>438</v>
      </c>
      <c r="H20" s="1" t="s">
        <v>133</v>
      </c>
    </row>
    <row r="21" spans="1:8" x14ac:dyDescent="0.25">
      <c r="A21">
        <v>6</v>
      </c>
      <c r="B21" s="1" t="s">
        <v>83</v>
      </c>
      <c r="C21" s="1" t="s">
        <v>152</v>
      </c>
      <c r="D21" s="1" t="s">
        <v>425</v>
      </c>
      <c r="E21" s="1" t="s">
        <v>155</v>
      </c>
      <c r="F21" s="1" t="s">
        <v>154</v>
      </c>
      <c r="G21" s="1" t="s">
        <v>426</v>
      </c>
      <c r="H21" s="1" t="s">
        <v>50</v>
      </c>
    </row>
    <row r="22" spans="1:8" x14ac:dyDescent="0.25">
      <c r="A22">
        <v>1</v>
      </c>
      <c r="B22" s="1" t="s">
        <v>162</v>
      </c>
      <c r="C22" s="1" t="s">
        <v>161</v>
      </c>
      <c r="D22" s="1" t="s">
        <v>441</v>
      </c>
      <c r="E22" s="1" t="s">
        <v>164</v>
      </c>
      <c r="F22" s="1" t="s">
        <v>165</v>
      </c>
      <c r="G22" s="1" t="s">
        <v>442</v>
      </c>
      <c r="H22" s="1" t="s">
        <v>166</v>
      </c>
    </row>
    <row r="23" spans="1:8" x14ac:dyDescent="0.25">
      <c r="A23">
        <v>2</v>
      </c>
      <c r="B23" s="1" t="s">
        <v>162</v>
      </c>
      <c r="C23" s="1" t="s">
        <v>167</v>
      </c>
      <c r="D23" s="1" t="s">
        <v>441</v>
      </c>
      <c r="E23" s="1" t="s">
        <v>168</v>
      </c>
      <c r="F23" s="1" t="s">
        <v>169</v>
      </c>
      <c r="G23" s="1" t="s">
        <v>442</v>
      </c>
      <c r="H23" s="1" t="s">
        <v>166</v>
      </c>
    </row>
    <row r="24" spans="1:8" x14ac:dyDescent="0.25">
      <c r="A24">
        <v>3</v>
      </c>
      <c r="B24" s="1" t="s">
        <v>162</v>
      </c>
      <c r="C24" s="1" t="s">
        <v>170</v>
      </c>
      <c r="D24" s="1" t="s">
        <v>441</v>
      </c>
      <c r="E24" s="1" t="s">
        <v>171</v>
      </c>
      <c r="F24" s="1" t="s">
        <v>172</v>
      </c>
      <c r="G24" s="1" t="s">
        <v>442</v>
      </c>
      <c r="H24" s="1" t="s">
        <v>166</v>
      </c>
    </row>
    <row r="25" spans="1:8" x14ac:dyDescent="0.25">
      <c r="A25">
        <v>4</v>
      </c>
      <c r="B25" s="1" t="s">
        <v>162</v>
      </c>
      <c r="C25" s="1" t="s">
        <v>173</v>
      </c>
      <c r="D25" s="1" t="s">
        <v>441</v>
      </c>
      <c r="E25" s="1" t="s">
        <v>174</v>
      </c>
      <c r="F25" s="1" t="s">
        <v>175</v>
      </c>
      <c r="G25" s="1" t="s">
        <v>442</v>
      </c>
      <c r="H25" s="1" t="s">
        <v>166</v>
      </c>
    </row>
    <row r="26" spans="1:8" x14ac:dyDescent="0.25">
      <c r="A26">
        <v>5</v>
      </c>
      <c r="B26" s="1" t="s">
        <v>162</v>
      </c>
      <c r="C26" s="1" t="s">
        <v>176</v>
      </c>
      <c r="D26" s="1" t="s">
        <v>441</v>
      </c>
      <c r="E26" s="1" t="s">
        <v>177</v>
      </c>
      <c r="F26" s="1" t="s">
        <v>178</v>
      </c>
      <c r="G26" s="1" t="s">
        <v>442</v>
      </c>
      <c r="H26" s="1" t="s">
        <v>166</v>
      </c>
    </row>
    <row r="27" spans="1:8" x14ac:dyDescent="0.25">
      <c r="A27">
        <v>6</v>
      </c>
      <c r="B27" s="1" t="s">
        <v>162</v>
      </c>
      <c r="C27" s="1" t="s">
        <v>179</v>
      </c>
      <c r="D27" s="1" t="s">
        <v>441</v>
      </c>
      <c r="E27" s="1" t="s">
        <v>180</v>
      </c>
      <c r="F27" s="1" t="s">
        <v>181</v>
      </c>
      <c r="G27" s="1" t="s">
        <v>442</v>
      </c>
      <c r="H27" s="1" t="s">
        <v>166</v>
      </c>
    </row>
    <row r="28" spans="1:8" x14ac:dyDescent="0.25">
      <c r="A28">
        <v>1</v>
      </c>
      <c r="B28" s="1" t="s">
        <v>443</v>
      </c>
      <c r="C28" s="1" t="s">
        <v>444</v>
      </c>
      <c r="D28" s="1" t="s">
        <v>445</v>
      </c>
      <c r="E28" s="1" t="s">
        <v>446</v>
      </c>
      <c r="F28" s="1" t="s">
        <v>447</v>
      </c>
      <c r="G28" s="1" t="s">
        <v>448</v>
      </c>
      <c r="H28" s="1" t="s">
        <v>448</v>
      </c>
    </row>
    <row r="29" spans="1:8" x14ac:dyDescent="0.25">
      <c r="A29">
        <v>2</v>
      </c>
      <c r="B29" s="1" t="s">
        <v>443</v>
      </c>
      <c r="C29" s="1" t="s">
        <v>449</v>
      </c>
      <c r="D29" s="1" t="s">
        <v>445</v>
      </c>
      <c r="E29" s="1" t="s">
        <v>446</v>
      </c>
      <c r="F29" s="1" t="s">
        <v>447</v>
      </c>
      <c r="G29" s="1" t="s">
        <v>448</v>
      </c>
      <c r="H29" s="1" t="s">
        <v>448</v>
      </c>
    </row>
    <row r="30" spans="1:8" x14ac:dyDescent="0.25">
      <c r="A30">
        <v>3</v>
      </c>
      <c r="B30" s="1" t="s">
        <v>443</v>
      </c>
      <c r="C30" s="1" t="s">
        <v>450</v>
      </c>
      <c r="D30" s="1" t="s">
        <v>445</v>
      </c>
      <c r="E30" s="1" t="s">
        <v>446</v>
      </c>
      <c r="F30" s="1" t="s">
        <v>447</v>
      </c>
      <c r="G30" s="1" t="s">
        <v>448</v>
      </c>
      <c r="H30" s="1" t="s">
        <v>448</v>
      </c>
    </row>
    <row r="31" spans="1:8" x14ac:dyDescent="0.25">
      <c r="A31">
        <v>4</v>
      </c>
      <c r="B31" s="1" t="s">
        <v>443</v>
      </c>
      <c r="C31" s="1" t="s">
        <v>451</v>
      </c>
      <c r="D31" s="1" t="s">
        <v>445</v>
      </c>
      <c r="E31" s="1" t="s">
        <v>446</v>
      </c>
      <c r="F31" s="1" t="s">
        <v>447</v>
      </c>
      <c r="G31" s="1" t="s">
        <v>448</v>
      </c>
      <c r="H31" s="1" t="s">
        <v>448</v>
      </c>
    </row>
    <row r="32" spans="1:8" x14ac:dyDescent="0.25">
      <c r="A32">
        <v>5</v>
      </c>
      <c r="B32" s="1" t="s">
        <v>443</v>
      </c>
      <c r="C32" s="1" t="s">
        <v>452</v>
      </c>
      <c r="D32" s="1" t="s">
        <v>445</v>
      </c>
      <c r="E32" s="1" t="s">
        <v>446</v>
      </c>
      <c r="F32" s="1" t="s">
        <v>447</v>
      </c>
      <c r="G32" s="1" t="s">
        <v>448</v>
      </c>
      <c r="H32" s="1" t="s">
        <v>448</v>
      </c>
    </row>
    <row r="33" spans="1:8" x14ac:dyDescent="0.25">
      <c r="A33">
        <v>6</v>
      </c>
      <c r="B33" s="1" t="s">
        <v>443</v>
      </c>
      <c r="C33" s="1" t="s">
        <v>453</v>
      </c>
      <c r="D33" s="1" t="s">
        <v>445</v>
      </c>
      <c r="E33" s="1" t="s">
        <v>446</v>
      </c>
      <c r="F33" s="1" t="s">
        <v>447</v>
      </c>
      <c r="G33" s="1" t="s">
        <v>448</v>
      </c>
      <c r="H33" s="1" t="s">
        <v>448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F33B3-F560-41D6-AAEB-973FC8BC174A}">
  <dimension ref="A1:I15"/>
  <sheetViews>
    <sheetView workbookViewId="0"/>
  </sheetViews>
  <sheetFormatPr defaultRowHeight="15" x14ac:dyDescent="0.25"/>
  <cols>
    <col min="1" max="1" width="40.7109375" customWidth="1"/>
    <col min="8" max="8" width="11" bestFit="1" customWidth="1"/>
  </cols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25">
      <c r="A2" s="1" t="s">
        <v>9</v>
      </c>
      <c r="B2" s="2">
        <v>900000</v>
      </c>
      <c r="C2" s="2">
        <v>950000</v>
      </c>
      <c r="D2" s="2">
        <v>1000000</v>
      </c>
      <c r="E2" s="2">
        <v>2850000</v>
      </c>
      <c r="F2" s="2">
        <v>1050000</v>
      </c>
      <c r="G2" s="2">
        <v>1100000</v>
      </c>
      <c r="H2" s="2">
        <v>1150000</v>
      </c>
      <c r="I2" s="2">
        <v>3300000</v>
      </c>
    </row>
    <row r="3" spans="1:9" x14ac:dyDescent="0.25">
      <c r="A3" s="1" t="s">
        <v>10</v>
      </c>
      <c r="B3" s="2">
        <v>360000</v>
      </c>
      <c r="C3" s="2">
        <v>380000</v>
      </c>
      <c r="D3" s="2">
        <v>400000</v>
      </c>
      <c r="E3" s="2">
        <v>1140000</v>
      </c>
      <c r="F3" s="2">
        <v>420000</v>
      </c>
      <c r="G3" s="2">
        <v>440000</v>
      </c>
      <c r="H3" s="2">
        <v>460000</v>
      </c>
      <c r="I3" s="2">
        <v>1320000</v>
      </c>
    </row>
    <row r="4" spans="1:9" x14ac:dyDescent="0.25">
      <c r="A4" s="1" t="s">
        <v>11</v>
      </c>
      <c r="B4" s="2">
        <v>540000</v>
      </c>
      <c r="C4" s="2">
        <v>570000</v>
      </c>
      <c r="D4" s="2">
        <v>600000</v>
      </c>
      <c r="E4" s="2">
        <v>1710000</v>
      </c>
      <c r="F4" s="2">
        <v>630000</v>
      </c>
      <c r="G4" s="2">
        <v>660000</v>
      </c>
      <c r="H4" s="2">
        <v>690000</v>
      </c>
      <c r="I4" s="2">
        <v>1980000</v>
      </c>
    </row>
    <row r="5" spans="1:9" x14ac:dyDescent="0.25">
      <c r="A5" s="1" t="s">
        <v>12</v>
      </c>
      <c r="B5" s="2">
        <v>420000</v>
      </c>
      <c r="C5" s="2">
        <v>430000</v>
      </c>
      <c r="D5" s="2">
        <v>440000</v>
      </c>
      <c r="E5" s="2">
        <v>1290000</v>
      </c>
      <c r="F5" s="2">
        <v>450000</v>
      </c>
      <c r="G5" s="2">
        <v>460000</v>
      </c>
      <c r="H5" s="2">
        <v>470000</v>
      </c>
      <c r="I5" s="2">
        <v>1380000</v>
      </c>
    </row>
    <row r="6" spans="1:9" x14ac:dyDescent="0.25">
      <c r="A6" s="1" t="s">
        <v>13</v>
      </c>
      <c r="B6" s="2">
        <v>120000</v>
      </c>
      <c r="C6" s="2">
        <v>140000</v>
      </c>
      <c r="D6" s="2">
        <v>160000</v>
      </c>
      <c r="E6" s="2">
        <v>420000</v>
      </c>
      <c r="F6" s="2">
        <v>180000</v>
      </c>
      <c r="G6" s="2">
        <v>200000</v>
      </c>
      <c r="H6" s="2">
        <v>220000</v>
      </c>
      <c r="I6" s="2">
        <v>600000</v>
      </c>
    </row>
    <row r="7" spans="1:9" x14ac:dyDescent="0.25">
      <c r="A7" s="1" t="s">
        <v>14</v>
      </c>
      <c r="B7" s="2">
        <v>1200000</v>
      </c>
      <c r="C7" s="2">
        <v>1280000</v>
      </c>
      <c r="D7" s="2">
        <v>1400000</v>
      </c>
      <c r="E7" s="2">
        <v>1200000</v>
      </c>
      <c r="F7" s="2">
        <v>1550000</v>
      </c>
      <c r="G7" s="2">
        <v>1730000</v>
      </c>
      <c r="H7" s="2">
        <v>1940000</v>
      </c>
      <c r="I7" s="2">
        <v>1550000</v>
      </c>
    </row>
    <row r="8" spans="1:9" x14ac:dyDescent="0.25">
      <c r="A8" s="1" t="s">
        <v>15</v>
      </c>
      <c r="B8" s="2">
        <v>880000</v>
      </c>
      <c r="C8" s="2">
        <v>940000</v>
      </c>
      <c r="D8" s="2">
        <v>990000</v>
      </c>
      <c r="E8" s="2">
        <v>2810000</v>
      </c>
      <c r="F8" s="2">
        <v>1040000</v>
      </c>
      <c r="G8" s="2">
        <v>1090000</v>
      </c>
      <c r="H8" s="2">
        <v>1140000</v>
      </c>
      <c r="I8" s="2">
        <v>3270000</v>
      </c>
    </row>
    <row r="9" spans="1:9" x14ac:dyDescent="0.25">
      <c r="A9" s="1" t="s">
        <v>16</v>
      </c>
      <c r="B9" s="2">
        <v>800000</v>
      </c>
      <c r="C9" s="2">
        <v>820000</v>
      </c>
      <c r="D9" s="2">
        <v>840000</v>
      </c>
      <c r="E9" s="2">
        <v>2460000</v>
      </c>
      <c r="F9" s="2">
        <v>860000</v>
      </c>
      <c r="G9" s="2">
        <v>880000</v>
      </c>
      <c r="H9" s="2">
        <v>900000</v>
      </c>
      <c r="I9" s="2">
        <v>2640000</v>
      </c>
    </row>
    <row r="10" spans="1:9" x14ac:dyDescent="0.25">
      <c r="A10" s="1" t="s">
        <v>17</v>
      </c>
      <c r="B10" s="2">
        <v>1280000</v>
      </c>
      <c r="C10" s="2">
        <v>1400000</v>
      </c>
      <c r="D10" s="2">
        <v>1550000</v>
      </c>
      <c r="E10" s="2">
        <v>1550000</v>
      </c>
      <c r="F10" s="2">
        <v>1730000</v>
      </c>
      <c r="G10" s="2">
        <v>1940000</v>
      </c>
      <c r="H10" s="2">
        <v>2180000</v>
      </c>
      <c r="I10" s="2">
        <v>2180000</v>
      </c>
    </row>
    <row r="11" spans="1:9" x14ac:dyDescent="0.25">
      <c r="A11" s="1" t="s">
        <v>18</v>
      </c>
      <c r="B11" s="2">
        <v>180</v>
      </c>
      <c r="C11" s="2">
        <v>190</v>
      </c>
      <c r="D11" s="2">
        <v>200</v>
      </c>
      <c r="E11" s="2">
        <v>200</v>
      </c>
      <c r="F11" s="2">
        <v>210</v>
      </c>
      <c r="G11" s="2">
        <v>220</v>
      </c>
      <c r="H11" s="2">
        <v>230</v>
      </c>
      <c r="I11" s="2">
        <v>230</v>
      </c>
    </row>
    <row r="12" spans="1:9" x14ac:dyDescent="0.25">
      <c r="A12" s="1" t="s">
        <v>19</v>
      </c>
      <c r="B12" s="3">
        <v>0.6</v>
      </c>
      <c r="C12" s="3">
        <v>0.6</v>
      </c>
      <c r="D12" s="3">
        <v>0.6</v>
      </c>
      <c r="E12" s="3">
        <v>0.6</v>
      </c>
      <c r="F12" s="3">
        <v>0.6</v>
      </c>
      <c r="G12" s="3">
        <v>0.6</v>
      </c>
      <c r="H12" s="3">
        <v>0.6</v>
      </c>
      <c r="I12" s="3">
        <v>0.6</v>
      </c>
    </row>
    <row r="13" spans="1:9" x14ac:dyDescent="0.25">
      <c r="A13" s="1" t="s">
        <v>20</v>
      </c>
      <c r="B13" s="3">
        <v>0.13333333333333333</v>
      </c>
      <c r="C13" s="3">
        <v>0.14736842105263157</v>
      </c>
      <c r="D13" s="3">
        <v>0.16</v>
      </c>
      <c r="E13" s="3">
        <v>0.14736842105263157</v>
      </c>
      <c r="F13" s="3">
        <v>0.17142857142857143</v>
      </c>
      <c r="G13" s="3">
        <v>0.18181818181818182</v>
      </c>
      <c r="H13" s="3">
        <v>0.19130434782608696</v>
      </c>
      <c r="I13" s="3">
        <v>0.18181818181818182</v>
      </c>
    </row>
    <row r="15" spans="1:9" x14ac:dyDescent="0.25">
      <c r="A15" s="1" t="s">
        <v>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867A4-201E-453E-BC60-FD5F0106F795}">
  <dimension ref="A1:A6"/>
  <sheetViews>
    <sheetView workbookViewId="0"/>
  </sheetViews>
  <sheetFormatPr defaultRowHeight="15" x14ac:dyDescent="0.25"/>
  <cols>
    <col min="1" max="1" width="150.7109375" customWidth="1"/>
  </cols>
  <sheetData>
    <row r="1" spans="1:1" x14ac:dyDescent="0.25">
      <c r="A1" s="1" t="s">
        <v>482</v>
      </c>
    </row>
    <row r="2" spans="1:1" x14ac:dyDescent="0.25">
      <c r="A2" s="1" t="s">
        <v>483</v>
      </c>
    </row>
    <row r="3" spans="1:1" x14ac:dyDescent="0.25">
      <c r="A3" s="1" t="s">
        <v>484</v>
      </c>
    </row>
    <row r="4" spans="1:1" x14ac:dyDescent="0.25">
      <c r="A4" s="1" t="s">
        <v>485</v>
      </c>
    </row>
    <row r="5" spans="1:1" x14ac:dyDescent="0.25">
      <c r="A5" s="1" t="s">
        <v>486</v>
      </c>
    </row>
    <row r="6" spans="1:1" x14ac:dyDescent="0.25">
      <c r="A6" s="1" t="s">
        <v>487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Summary</vt:lpstr>
      <vt:lpstr>TieOut</vt:lpstr>
      <vt:lpstr>Period_Labels</vt:lpstr>
      <vt:lpstr>Checks</vt:lpstr>
      <vt:lpstr>ChangeLog</vt:lpstr>
      <vt:lpstr>Model_Snapshot</vt:lpstr>
      <vt:lpstr>Q2_vs_Q3_Notes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 Sack</dc:creator>
  <cp:lastModifiedBy>Logan Sack</cp:lastModifiedBy>
  <dcterms:created xsi:type="dcterms:W3CDTF">2026-11-02T00:02:51Z</dcterms:created>
  <dcterms:modified xsi:type="dcterms:W3CDTF">2026-11-02T00:03:29Z</dcterms:modified>
</cp:coreProperties>
</file>